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General\IT 2024-25\"/>
    </mc:Choice>
  </mc:AlternateContent>
  <xr:revisionPtr revIDLastSave="0" documentId="13_ncr:1_{4331B730-41FE-4BA6-9CF4-C7DD57EC4C56}" xr6:coauthVersionLast="47" xr6:coauthVersionMax="47" xr10:uidLastSave="{00000000-0000-0000-0000-000000000000}"/>
  <bookViews>
    <workbookView showSheetTabs="0" xWindow="-120" yWindow="-120" windowWidth="20730" windowHeight="11310" tabRatio="430" xr2:uid="{00000000-000D-0000-FFFF-FFFF00000000}"/>
  </bookViews>
  <sheets>
    <sheet name="Form" sheetId="3" r:id="rId1"/>
    <sheet name="Monthly Salary" sheetId="2" r:id="rId2"/>
    <sheet name="IT statement" sheetId="1" r:id="rId3"/>
  </sheets>
  <definedNames>
    <definedName name="_xlnm.Print_Area" localSheetId="0">Form!$T$1</definedName>
    <definedName name="_xlnm.Print_Area" localSheetId="2">'IT statement'!$A$1:$L$117</definedName>
    <definedName name="_xlnm.Print_Area" localSheetId="1">'Monthly Salary'!$B$1:$S$26</definedName>
    <definedName name="Z_FB1B2773_2708_4BC7_98F1_55C7E60B40D3_.wvu.PrintArea" localSheetId="0" hidden="1">Form!#REF!</definedName>
    <definedName name="Z_FB1B2773_2708_4BC7_98F1_55C7E60B40D3_.wvu.PrintArea" localSheetId="2" hidden="1">'IT statement'!$A$1:$K$93</definedName>
    <definedName name="Z_FB1B2773_2708_4BC7_98F1_55C7E60B40D3_.wvu.PrintArea" localSheetId="1" hidden="1">'Monthly Salary'!$A$1:$K$24</definedName>
  </definedNames>
  <calcPr calcId="191029"/>
  <customWorkbookViews>
    <customWorkbookView name="1" guid="{FB1B2773-2708-4BC7-98F1-55C7E60B40D3}" maximized="1" xWindow="1" yWindow="1" windowWidth="1024" windowHeight="548" tabRatio="430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0" i="1" l="1"/>
  <c r="L31" i="1" s="1"/>
  <c r="L36" i="1"/>
  <c r="D5" i="2"/>
  <c r="B6" i="2"/>
  <c r="B7" i="2"/>
  <c r="B8" i="2"/>
  <c r="B9" i="2"/>
  <c r="B10" i="2"/>
  <c r="B11" i="2"/>
  <c r="B12" i="2"/>
  <c r="B13" i="2"/>
  <c r="B14" i="2"/>
  <c r="B15" i="2"/>
  <c r="B16" i="2"/>
  <c r="D6" i="2" l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L44" i="1"/>
  <c r="M23" i="3"/>
  <c r="S15" i="2"/>
  <c r="S14" i="2"/>
  <c r="J104" i="1"/>
  <c r="J103" i="1"/>
  <c r="J102" i="1"/>
  <c r="D107" i="1"/>
  <c r="D106" i="1"/>
  <c r="D105" i="1"/>
  <c r="D104" i="1"/>
  <c r="D103" i="1"/>
  <c r="D102" i="1"/>
  <c r="L101" i="1" l="1"/>
  <c r="B112" i="1"/>
  <c r="B111" i="1"/>
  <c r="B110" i="1"/>
  <c r="B107" i="1"/>
  <c r="B106" i="1"/>
  <c r="B105" i="1"/>
  <c r="G104" i="1"/>
  <c r="B104" i="1"/>
  <c r="G103" i="1"/>
  <c r="B103" i="1"/>
  <c r="G102" i="1"/>
  <c r="B102" i="1"/>
  <c r="L75" i="1"/>
  <c r="L74" i="1"/>
  <c r="L72" i="1"/>
  <c r="L71" i="1"/>
  <c r="L66" i="1"/>
  <c r="L69" i="1"/>
  <c r="L68" i="1"/>
  <c r="L67" i="1"/>
  <c r="L65" i="1"/>
  <c r="L64" i="1"/>
  <c r="J9" i="1"/>
  <c r="J8" i="3"/>
  <c r="J7" i="3"/>
  <c r="C22" i="3"/>
  <c r="C23" i="3" s="1"/>
  <c r="C24" i="3" s="1"/>
  <c r="K5" i="1"/>
  <c r="N17" i="3"/>
  <c r="P16" i="3"/>
  <c r="A2" i="1"/>
  <c r="L7" i="1"/>
  <c r="L6" i="1"/>
  <c r="B2" i="2"/>
  <c r="B5" i="2"/>
  <c r="P15" i="3"/>
  <c r="L73" i="1" l="1"/>
  <c r="L76" i="1" s="1"/>
  <c r="A1" i="1"/>
  <c r="L17" i="2" l="1"/>
  <c r="K20" i="2"/>
  <c r="K39" i="1" s="1"/>
  <c r="K22" i="2"/>
  <c r="J17" i="2"/>
  <c r="M17" i="2"/>
  <c r="N17" i="2"/>
  <c r="O17" i="2"/>
  <c r="O23" i="2" s="1"/>
  <c r="P17" i="2"/>
  <c r="P23" i="2" s="1"/>
  <c r="Q17" i="2"/>
  <c r="Q23" i="2" s="1"/>
  <c r="R17" i="2"/>
  <c r="R23" i="2" s="1"/>
  <c r="K56" i="1" s="1"/>
  <c r="P13" i="3"/>
  <c r="E7" i="3"/>
  <c r="P14" i="3"/>
  <c r="H23" i="3"/>
  <c r="D3" i="1"/>
  <c r="U5" i="2"/>
  <c r="D8" i="1"/>
  <c r="D7" i="1"/>
  <c r="E8" i="3"/>
  <c r="E14" i="3"/>
  <c r="E13" i="3"/>
  <c r="K4" i="1"/>
  <c r="D4" i="1"/>
  <c r="H15" i="3"/>
  <c r="K53" i="1" s="1"/>
  <c r="M23" i="2" l="1"/>
  <c r="K50" i="1"/>
  <c r="I5" i="2"/>
  <c r="P17" i="3"/>
  <c r="N23" i="2"/>
  <c r="K54" i="1"/>
  <c r="L23" i="2"/>
  <c r="K49" i="1"/>
  <c r="H5" i="2"/>
  <c r="E5" i="2"/>
  <c r="G5" i="2" s="1"/>
  <c r="J9" i="3"/>
  <c r="J21" i="2" s="1"/>
  <c r="K60" i="1" l="1"/>
  <c r="L63" i="1" s="1"/>
  <c r="L77" i="1" s="1"/>
  <c r="K5" i="2"/>
  <c r="I6" i="2"/>
  <c r="E6" i="2"/>
  <c r="G6" i="2" s="1"/>
  <c r="H6" i="2"/>
  <c r="K21" i="2"/>
  <c r="K40" i="1" s="1"/>
  <c r="J23" i="2"/>
  <c r="K6" i="2" l="1"/>
  <c r="I7" i="2"/>
  <c r="E7" i="2"/>
  <c r="G7" i="2" s="1"/>
  <c r="H7" i="2"/>
  <c r="E11" i="2"/>
  <c r="K7" i="2" l="1"/>
  <c r="H8" i="2"/>
  <c r="I8" i="2"/>
  <c r="I18" i="2" s="1"/>
  <c r="E8" i="2"/>
  <c r="G8" i="2" s="1"/>
  <c r="G18" i="2" s="1"/>
  <c r="E12" i="2"/>
  <c r="K8" i="2" l="1"/>
  <c r="H9" i="2"/>
  <c r="I9" i="2"/>
  <c r="K18" i="2"/>
  <c r="E9" i="2"/>
  <c r="G9" i="2" s="1"/>
  <c r="E13" i="2"/>
  <c r="K9" i="2" l="1"/>
  <c r="H10" i="2"/>
  <c r="I10" i="2"/>
  <c r="E10" i="2"/>
  <c r="G10" i="2" s="1"/>
  <c r="E14" i="2"/>
  <c r="K10" i="2" l="1"/>
  <c r="H11" i="2"/>
  <c r="I11" i="2"/>
  <c r="G11" i="2"/>
  <c r="E15" i="2"/>
  <c r="K11" i="2" l="1"/>
  <c r="H12" i="2"/>
  <c r="I12" i="2"/>
  <c r="G12" i="2"/>
  <c r="K12" i="2" l="1"/>
  <c r="H13" i="2"/>
  <c r="I13" i="2"/>
  <c r="I19" i="2" s="1"/>
  <c r="G13" i="2"/>
  <c r="G19" i="2" s="1"/>
  <c r="I14" i="2" l="1"/>
  <c r="K13" i="2"/>
  <c r="H14" i="2"/>
  <c r="K19" i="2"/>
  <c r="K41" i="1" s="1"/>
  <c r="L42" i="1" s="1"/>
  <c r="G14" i="2"/>
  <c r="K14" i="2" l="1"/>
  <c r="H15" i="2"/>
  <c r="I15" i="2"/>
  <c r="G15" i="2"/>
  <c r="K15" i="2" l="1"/>
  <c r="H16" i="2"/>
  <c r="H17" i="2" s="1"/>
  <c r="H23" i="2" s="1"/>
  <c r="J23" i="1" s="1"/>
  <c r="I16" i="2"/>
  <c r="I17" i="2" s="1"/>
  <c r="I23" i="2" s="1"/>
  <c r="E16" i="2"/>
  <c r="E17" i="2" s="1"/>
  <c r="D17" i="2"/>
  <c r="D23" i="2" s="1"/>
  <c r="G16" i="2" l="1"/>
  <c r="K16" i="2" s="1"/>
  <c r="G17" i="2" l="1"/>
  <c r="G23" i="2" s="1"/>
  <c r="K17" i="2"/>
  <c r="K11" i="1" s="1"/>
  <c r="L14" i="1" s="1"/>
  <c r="L16" i="1" l="1"/>
  <c r="J25" i="1"/>
  <c r="J24" i="1"/>
  <c r="K23" i="2"/>
  <c r="K26" i="1" l="1"/>
  <c r="K33" i="1"/>
  <c r="L37" i="1" l="1"/>
  <c r="L45" i="1" l="1"/>
  <c r="L78" i="1" s="1"/>
  <c r="L79" i="1" s="1"/>
  <c r="L46" i="1"/>
  <c r="L87" i="1"/>
  <c r="L96" i="1" l="1"/>
  <c r="L97" i="1" s="1"/>
  <c r="L98" i="1" s="1"/>
  <c r="L100" i="1" s="1"/>
  <c r="L108" i="1" s="1"/>
  <c r="D112" i="1" s="1"/>
  <c r="S16" i="2" s="1"/>
  <c r="S17" i="2" s="1"/>
  <c r="S23" i="2" s="1"/>
  <c r="D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Subbu</author>
  </authors>
  <commentList>
    <comment ref="I4" authorId="0" shapeId="0" xr:uid="{00000000-0006-0000-0100-000001000000}">
      <text>
        <r>
          <rPr>
            <sz val="8"/>
            <color indexed="81"/>
            <rFont val="Tahoma"/>
            <family val="2"/>
          </rPr>
          <t xml:space="preserve">TRASPORT
 ALLOWANCE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Dr. Mohan Ramalingam</author>
  </authors>
  <commentList>
    <comment ref="A6" authorId="0" shapeId="0" xr:uid="{00000000-0006-0000-0200-000001000000}">
      <text>
        <r>
          <rPr>
            <sz val="9"/>
            <color rgb="FF000000"/>
            <rFont val="Tahoma"/>
            <family val="2"/>
          </rPr>
          <t>Type the address in a single line.</t>
        </r>
      </text>
    </comment>
  </commentList>
</comments>
</file>

<file path=xl/sharedStrings.xml><?xml version="1.0" encoding="utf-8"?>
<sst xmlns="http://schemas.openxmlformats.org/spreadsheetml/2006/main" count="346" uniqueCount="280">
  <si>
    <t>ASSESSMENT YEAR:</t>
  </si>
  <si>
    <t>Signature</t>
  </si>
  <si>
    <t xml:space="preserve">NAME: </t>
  </si>
  <si>
    <t>SECTION:</t>
  </si>
  <si>
    <t>DESIGNATION :</t>
  </si>
  <si>
    <t>FINANCIAL YEAR:</t>
  </si>
  <si>
    <t xml:space="preserve">Rate of tax </t>
  </si>
  <si>
    <t>Senior Citizen</t>
  </si>
  <si>
    <t>Nil</t>
  </si>
  <si>
    <t>RESIDENTIAL ADDRESS:</t>
  </si>
  <si>
    <t>Income Tax deducted at source/ to be deducted at source</t>
  </si>
  <si>
    <t>PAN NO:</t>
  </si>
  <si>
    <t>TAN NO:</t>
  </si>
  <si>
    <t>STATEMENT OF ANNUAL EMOLUMENTS OF</t>
  </si>
  <si>
    <t>Month</t>
  </si>
  <si>
    <t>Band Pay</t>
  </si>
  <si>
    <t>DA%</t>
  </si>
  <si>
    <t>DA</t>
  </si>
  <si>
    <t>HRA</t>
  </si>
  <si>
    <t>TA</t>
  </si>
  <si>
    <t>Total</t>
  </si>
  <si>
    <t>TOTAL</t>
  </si>
  <si>
    <t>GPF</t>
  </si>
  <si>
    <t>Pension</t>
  </si>
  <si>
    <t>NAME</t>
  </si>
  <si>
    <t>GENDER</t>
  </si>
  <si>
    <t>DESIGNATION</t>
  </si>
  <si>
    <t>PAN NO.</t>
  </si>
  <si>
    <t>NO</t>
  </si>
  <si>
    <t xml:space="preserve">Age at the end of financial year </t>
  </si>
  <si>
    <t>Eligibility for Senior Citizen</t>
  </si>
  <si>
    <t>Taxable children education allowance</t>
  </si>
  <si>
    <t>Tution fees actually paid</t>
  </si>
  <si>
    <t>Others</t>
  </si>
  <si>
    <t>Rent paid</t>
  </si>
  <si>
    <t>HTL paid</t>
  </si>
  <si>
    <t>PLI/ NIC</t>
  </si>
  <si>
    <t>SALARY INCOME</t>
  </si>
  <si>
    <t>End date of financial year</t>
  </si>
  <si>
    <t xml:space="preserve">TA Applicability </t>
  </si>
  <si>
    <t>YES</t>
  </si>
  <si>
    <t>Hosteller/ Dayscholar</t>
  </si>
  <si>
    <t>Cell No</t>
  </si>
  <si>
    <t>Email ID</t>
  </si>
  <si>
    <t>Savings Bank  AC No.</t>
  </si>
  <si>
    <t>Cell No.</t>
  </si>
  <si>
    <t>Children Eduction Allowance (CEA) claimed and received from the Institute</t>
  </si>
  <si>
    <t>Number of school/ college going children for whom tution fee is paid</t>
  </si>
  <si>
    <t>No. of years CEA claimed</t>
  </si>
  <si>
    <t>Amount of CEA received</t>
  </si>
  <si>
    <t>% CEA received</t>
  </si>
  <si>
    <t>Taxable amount</t>
  </si>
  <si>
    <t>Tution fee paid for school/ college going children</t>
  </si>
  <si>
    <t>Aadhar No.</t>
  </si>
  <si>
    <t xml:space="preserve">Reimbursement of medical expenses, Pension received </t>
  </si>
  <si>
    <t>Cateogory of Receipts</t>
  </si>
  <si>
    <t>Amount received</t>
  </si>
  <si>
    <t>Reimbursement of medical expenses</t>
  </si>
  <si>
    <t>Total amount</t>
  </si>
  <si>
    <t>Amount Donated</t>
  </si>
  <si>
    <t>PAN of Donee</t>
  </si>
  <si>
    <t xml:space="preserve">Eligible amount </t>
  </si>
  <si>
    <t>Name of Donee</t>
  </si>
  <si>
    <t xml:space="preserve">Total tution fees paid </t>
  </si>
  <si>
    <t>:</t>
  </si>
  <si>
    <t>Donations given to Government / Other Organizations under section 80G</t>
  </si>
  <si>
    <t xml:space="preserve">Eligible % </t>
  </si>
  <si>
    <t>Own Pension amount</t>
  </si>
  <si>
    <t>LIC SS</t>
  </si>
  <si>
    <t>UTGIS/ GSLIS</t>
  </si>
  <si>
    <t>IT</t>
  </si>
  <si>
    <t>Salary arrears</t>
  </si>
  <si>
    <t>DA- Arrears 2</t>
  </si>
  <si>
    <t>DA- Arrears 1</t>
  </si>
  <si>
    <t xml:space="preserve">DEDUCTIONS/ SAVINGS/ RENT/ HTL/ IT </t>
  </si>
  <si>
    <t>GRAND TOTAL</t>
  </si>
  <si>
    <t xml:space="preserve">7th CPC Pay matrix table No. </t>
  </si>
  <si>
    <t xml:space="preserve">Number of school going children for whom CEA is claimed </t>
  </si>
  <si>
    <t>Name of the Institute / School/ Office with address</t>
  </si>
  <si>
    <t>ARIGNAR ANNA GOVERNMENT ARTS AND SCIENCE COLLEGE, KARAIKAL</t>
  </si>
  <si>
    <t>GOVERNMENR BRANCH PRESS, KOTTUCHERRY</t>
  </si>
  <si>
    <t>GOVERNMENT AUTOMOBILE WORKSHOP</t>
  </si>
  <si>
    <t>GOVERNMENT GIRLS HIGHER SECONDARY SCHOOL, THIRUNALLAR</t>
  </si>
  <si>
    <t>GOVERNMENT HIGHER SECONDARY SCHOOL, AMBAGRATHUR</t>
  </si>
  <si>
    <t>GOVERNMENT HIGHER SECONDARY SCHOOL, NERAVY</t>
  </si>
  <si>
    <t>GOVERNMENT HIGHER SECONDARY SCHOOL, T.R.PATTINAM</t>
  </si>
  <si>
    <t>GOVERNMENT HIGHER SECONDARY SCHOOL, THIRUNALLAR, THENOR</t>
  </si>
  <si>
    <t>JAWAHARLAL NEHRU GOVERNMENT HIGHER SCONDARY SCHOOL, NEDUNAGDU</t>
  </si>
  <si>
    <t>OFFICE OF THE DEPARTMENT OF REVENUE-LEGAL METROLOGY, KARAIKAL</t>
  </si>
  <si>
    <t>OFFICE OF THE DEPARTMENT OF REVENUE-REGISTRATION OFFICE, KARAIKAKL</t>
  </si>
  <si>
    <t>OFFICE OF THE DEPARTMENT OF REVENUE-REGISTRATION OFFICE, NERAVY T.R.PATTINAM.</t>
  </si>
  <si>
    <t>OFFICE OF THE DEPARTMENT OF REVENUE-REGISTRATION OFFICE, THIRUNALLAR</t>
  </si>
  <si>
    <t>OFFICE OF THE DEPARTMENT OF REVENUE-TALUK OFFICE, KARAIKAL</t>
  </si>
  <si>
    <t>OFFICE OF THE DEPARTMENT OF REVENUE-TALUK OFFICE, THIRUNALLAR</t>
  </si>
  <si>
    <t>VOC GOVERNMENT HIGHER SECONDARY SCHOOL, KOTTUCHERRY</t>
  </si>
  <si>
    <t>OFFICE OF THE COLLECTORATE, KARAIKAL</t>
  </si>
  <si>
    <t>ANNAI THERASA GOVERNMENT GIRLS HIGHER SECONDARY SCHOOL, KARAIKAL</t>
  </si>
  <si>
    <t>AVVAIYAR GOVERNMENT COLLEGE FOR WOMEN, KARAIKAL</t>
  </si>
  <si>
    <t>OFFICE OF THE ACCOUNTS and TREASURIES, KARAIKAL</t>
  </si>
  <si>
    <t>OFFICE OF THE DEPARTMENT OF ADI DRAVIDAR WELFARE, KARAIKAL</t>
  </si>
  <si>
    <t>OFFICE OF THE DEPARTMENT OF AGRICULTURE, KARAIKAL</t>
  </si>
  <si>
    <t>OFFICE OF THE DEPARTMENT OF ANIMAL HUSBANDRY, KARAIKAL</t>
  </si>
  <si>
    <t>OFFICE OF THE DEPARTMENT OF ART and CULTURE, KARAIKAL</t>
  </si>
  <si>
    <t>OFFICE OF THE DEPARTMENT OF BLOCK DEVELOPMENT OFFICE, KARAIKAL</t>
  </si>
  <si>
    <t>OFFICE OF THE DEPARTMENT OF CHIEF EDUCATIONAL OFFICE, KARAIKAL</t>
  </si>
  <si>
    <t>OFFICE OF THE DEPARTMENT OF CIVIL SUPPLIES AND CONSUMER AFFAIRS, KARAIKAL</t>
  </si>
  <si>
    <t>OFFICE OF THE DEPARTMENT OF COMMERCIAL TAX, KARAIKAL</t>
  </si>
  <si>
    <t>OFFICE OF THE DEPARTMENT OF CO-OPERATIVES, KARAIKAL</t>
  </si>
  <si>
    <t>OFFICE OF THE DEPARTMENT OF DISTRICT INDUSTRIES CENTRE, KARAIKAL</t>
  </si>
  <si>
    <t>OFFICE OF THE DEPARTMENT OF ECONOMICS &amp; STATISTICS, KARAIKAL</t>
  </si>
  <si>
    <t>OFFICE OF THE DEPARTMENT OF ELECTRICITY, KARAIKAL</t>
  </si>
  <si>
    <t>OFFICE OF THE DEPARTMENT OF FIRE SERVICE, KARAIKAL</t>
  </si>
  <si>
    <t>OFFICE OF THE DEPARTMENT OF FISHERIES AND FISHERMEN WELFARE, KARAIKAL</t>
  </si>
  <si>
    <t>OFFICE OF THE DEPARTMENT OF HEALTH-DEPUTY DIRECTOR OF IMMUNIZATION, KARAIKAL</t>
  </si>
  <si>
    <t>OFFICE OF THE DEPARTMENT OF HEALTH-GENERAL HOSPITAL, KARAIKAL</t>
  </si>
  <si>
    <t>OFFICE OF THE DEPARTMENT OF PLANNING AND RESEARCH, KARAIKAL</t>
  </si>
  <si>
    <t>OFFICE OF THE DEPARTMENT OF PWD (BUILDINGS AND ROADS), KARAIKAL</t>
  </si>
  <si>
    <t>OFFICE OF THE DEPARTMENT OF PWD (IRRIGATION AND PUBLIC HEALTH DIVISION), KARAIKAL</t>
  </si>
  <si>
    <t>OFFICE OF THE DEPARTMENT OF PWD CIRCLE-III, KARAIKAL</t>
  </si>
  <si>
    <t>OFFICE OF THE DEPARTMENT OF REVENUE-DEPUTY COLLECTOR, KARAIKAL</t>
  </si>
  <si>
    <t>OFFICE OF THE DEPARTMENT OF REVENUE-SURVEY AND LAND RECORDS, KARAIKAL</t>
  </si>
  <si>
    <t>OFFICE OF THE DEPARTMENT OF SCIENCE AND TECHNOLOGY, KARAIKAL</t>
  </si>
  <si>
    <t>OFFICE OF THE DEPARTMENT OF SOCIAL WELFARE, KARAIKAL</t>
  </si>
  <si>
    <t>OFFICE OF THE DEPARTMENT OF TOURISM, KARAIKAL</t>
  </si>
  <si>
    <t>OFFICE OF THE DEPARTMENT OF TOWN AND COUNTRY PLANNING, KARAIKAL</t>
  </si>
  <si>
    <t>OFFICE OF THE DEPARTMENT OF TRANSPORT, KARAIKAL</t>
  </si>
  <si>
    <t>OFFICE OF THE DEPARTMENT OF WOMEN AND CHILD DEVELOPMENT, KARAIKAL</t>
  </si>
  <si>
    <t>PANDIT JAWAHARLAL NEHRU COLLEGE OF AGRICULTURE AND RESEARCH INSTITUTE, KARAIKAL</t>
  </si>
  <si>
    <t>PERUNTHALAIVAR KAMARAJAR INSTITUTE OF ENGINEERING AND TECHNOLOGY, KARAIKAL</t>
  </si>
  <si>
    <t>THANTHAI PERIYAR GOVERNMENT HIGHER SECONDARY SCHOOL, KARAIKAL</t>
  </si>
  <si>
    <t>THIRUNALLAR DEVASTHANAM, THIRUNALLAR</t>
  </si>
  <si>
    <t>Men/ Women</t>
  </si>
  <si>
    <t>Old tax rates</t>
  </si>
  <si>
    <t>New tax rates</t>
  </si>
  <si>
    <t>&gt; 15.0</t>
  </si>
  <si>
    <t>10000 + 20%</t>
  </si>
  <si>
    <t>12500 + 20%</t>
  </si>
  <si>
    <t>112500 + 30%</t>
  </si>
  <si>
    <t>110000 + 30%</t>
  </si>
  <si>
    <t>NPA</t>
  </si>
  <si>
    <t>7th CPC Pay on March</t>
  </si>
  <si>
    <t>Financial Year</t>
  </si>
  <si>
    <t>-</t>
  </si>
  <si>
    <t>Assessment Year</t>
  </si>
  <si>
    <t>2023</t>
  </si>
  <si>
    <t>School going children</t>
  </si>
  <si>
    <t>School/ college  going children</t>
  </si>
  <si>
    <t>Are you eligible for Non Practicing Allowance?</t>
  </si>
  <si>
    <t>Are you eligible for annual increment?</t>
  </si>
  <si>
    <t>Select your increment month (If not eligible, select NA)</t>
  </si>
  <si>
    <t>2024</t>
  </si>
  <si>
    <t>2025</t>
  </si>
  <si>
    <t>(a)</t>
  </si>
  <si>
    <t>Salary as per provisions contained in section 17(1). (Total gross salary income for the year 2023-24) (Monthwise detailsnshould be furnished from March, 2023 paid in April, 2023 to February, 2024 includingnanticipated arrears of pay and allowances, compensatry pay, tuition fees, DA etc.)</t>
  </si>
  <si>
    <t xml:space="preserve">Amount </t>
  </si>
  <si>
    <t>Particulars</t>
  </si>
  <si>
    <t>(b)</t>
  </si>
  <si>
    <t>Value of perquisites under section 17(2). [As per Form No. 12BA, wherever applicable]</t>
  </si>
  <si>
    <t>Profits in lieu of salary under section 17(3). [As per Form No. 12BA, wherever applicable]</t>
  </si>
  <si>
    <t>(c)</t>
  </si>
  <si>
    <t>(d)</t>
  </si>
  <si>
    <t>Reported total amount of salary received from other employer(s)</t>
  </si>
  <si>
    <t xml:space="preserve">(e) </t>
  </si>
  <si>
    <t>TOTAL SALARY (d + e)</t>
  </si>
  <si>
    <t>Travel concession or assistance under section 10 (5)</t>
  </si>
  <si>
    <t>Death cum Retirement gratuity under section 10(10)</t>
  </si>
  <si>
    <t>Commuted value of pension under section 10 (10A)</t>
  </si>
  <si>
    <t>Cash equivalent of leave salary encashment under section 10(10AA)</t>
  </si>
  <si>
    <t>(e)</t>
  </si>
  <si>
    <t>LESS - Less Allowances to the extent exempt under section 10</t>
  </si>
  <si>
    <t>If HRA to the extent exempt u/s 10, employee should produce copies of rent receipts. [Please enclose working sheet as required along with rent receipt]</t>
  </si>
  <si>
    <t>(i)</t>
  </si>
  <si>
    <t>Actual amount of HRA received</t>
  </si>
  <si>
    <t>(ii)</t>
  </si>
  <si>
    <t>Rent paid in excess of 10% of salary</t>
  </si>
  <si>
    <t>(iii)</t>
  </si>
  <si>
    <t>40% of salary</t>
  </si>
  <si>
    <t>Whichever is less</t>
  </si>
  <si>
    <t>(f)</t>
  </si>
  <si>
    <t>Amount of any other exemption under section 10 - FTA</t>
  </si>
  <si>
    <t>(g)</t>
  </si>
  <si>
    <t>Amount of any other exemption under section 10 - WA/ UA</t>
  </si>
  <si>
    <t>(h)</t>
  </si>
  <si>
    <t>Amount of any other exemption under section 10 - Others</t>
  </si>
  <si>
    <t>Total amount of exemption claimed under section 10 [2(a)+(b)+(c)+(d)+€+(f)+(g)+(h)]</t>
  </si>
  <si>
    <t>Total amount of salary received from current employer [1(d) - 2(i)]</t>
  </si>
  <si>
    <t xml:space="preserve">Standard deduction under section 16 (i)(a) </t>
  </si>
  <si>
    <t>Entertainment allowance under section 16(ii)</t>
  </si>
  <si>
    <t>Tax on employment under section (iii)</t>
  </si>
  <si>
    <t>Total amount of deductions under section 16 [4(a)+(b)+(c)]</t>
  </si>
  <si>
    <t>Income chargeable under the head "Salaries" [(3)+(1e)-(5)]</t>
  </si>
  <si>
    <t>ADD: Any other income reported by the employee under section 192(2B)</t>
  </si>
  <si>
    <t>Gross Amount</t>
  </si>
  <si>
    <t>Qualifying amount</t>
  </si>
  <si>
    <t>LESS - Interest on Housing loan (Self occupied house only - Maximum Rs. 2.0 lakhs)</t>
  </si>
  <si>
    <t>LESS: Deductions under Chapter VI- A</t>
  </si>
  <si>
    <t>G.P.F. Subscriptions</t>
  </si>
  <si>
    <t>Deduction in respect of Life insurance premia, contributions to provident funds etc. under section 80 (c)</t>
  </si>
  <si>
    <t>U.T.G.E.G.I.S</t>
  </si>
  <si>
    <t>Group savings Linked Insurance Scheme (GSLIS - LIC)</t>
  </si>
  <si>
    <t>(iv)</t>
  </si>
  <si>
    <t>Group personal Accident Insurance Cover Scheme (GPAICS - NIC)</t>
  </si>
  <si>
    <t>(v)</t>
  </si>
  <si>
    <t>Tuition fees paid (for 2 childrens only)</t>
  </si>
  <si>
    <t>(vi)</t>
  </si>
  <si>
    <t>Life Insurance Premium (LIC)</t>
  </si>
  <si>
    <t>(vii)</t>
  </si>
  <si>
    <t>Subscription to Mutual fund</t>
  </si>
  <si>
    <t>(viii)</t>
  </si>
  <si>
    <t>Housing loan repayment to authorized instituition (Principle)</t>
  </si>
  <si>
    <t>(ix)</t>
  </si>
  <si>
    <t>Investment in NSS/ PPF/ NSC/ SSA</t>
  </si>
  <si>
    <t>(x)</t>
  </si>
  <si>
    <t>Fixed Deposit (for a minimum period of 5 years in scheduled bank or post office 5 year term deposits (80c, 80ccc, 80ccd)</t>
  </si>
  <si>
    <t>(xi)</t>
  </si>
  <si>
    <t>LESS - Less deductions under section 16</t>
  </si>
  <si>
    <t>Contribution to certain specified pension funds of LIC/ other insurer by an individual (subject to certain conditions) upto Rs. 1.0 lakhs (Subject to overall limit of Rs. 1.5 lakhs under section 80c, 80ccc, 80ccd)</t>
  </si>
  <si>
    <t>Total (i - xi)</t>
  </si>
  <si>
    <t>Deduction in respect of contribution by taxpayer to pension scheme under section 80ccd(1) subject to a maximum of 10% of salary under section 80ccd(1) NPS</t>
  </si>
  <si>
    <t xml:space="preserve">Total deductions under section 80c, 80ccc and 80ccd(1) [(a)+(b)+(c)]. Maximum amount eligible for savings is Rs. 1.5 lakhs. Evidence should be produced for all deductions. </t>
  </si>
  <si>
    <t>Deductions in respect of amount paid / deposited to notified pension scheme under section 80ccd(1b)</t>
  </si>
  <si>
    <t>Deductions in respect of contribution by employer to pension scheme under section 80ccd(2)</t>
  </si>
  <si>
    <t>Deduction in respect of health insurance premia under section 80d. [Any premium paid for medical insurance for assessee or any member of the family and amount paid upto Rs. 25000 (self) and Rs. 30000 (Sr. citizen). Overall Rs. 50000]</t>
  </si>
  <si>
    <t>Total deductions in respect of donations to certain funds, charitable institutions, Flag day, PM/CM relief funds etc. under section 80g. Evidence should be produced for deductions.</t>
  </si>
  <si>
    <t>(j)</t>
  </si>
  <si>
    <t>Deduction in respect of interest on deposits in savings account under section 80tta [Exemption limit is Rs. 10000]</t>
  </si>
  <si>
    <t>Deduction in respect of interest on loan taken for higher education under section 80e. [Interest only paid on loan taken for education for self, spouse, children. Evidence should be produced for deduction]</t>
  </si>
  <si>
    <t>(k)</t>
  </si>
  <si>
    <t>Amount deductable under any other provisions of chapter VI-A</t>
  </si>
  <si>
    <t>Physically handicapped (Self) upto Rs. 75000 and Rs. 1,25,000 if he/she is a person with severe disability (Section 80u). [Evidence should be produced]</t>
  </si>
  <si>
    <t>Interest payable on loan taken upto Rs. 35 lakhs by an individual taxpayer from any financial institution sanctioned during the fiancial year 2016-17 for the purpose of acquisition of a residential hous property whose value does not exceed Rs. 50 lakhs. Deduction of upto Rs. 50000 towards interest on loan</t>
  </si>
  <si>
    <t>Section 80(ttb). SB/FD/RD interest for senior citizen exemption limit Rs. 50000</t>
  </si>
  <si>
    <t>80(ddb) - Expenses actually paid by resident individual and HUF for medical treatment of specified diseases. Upto Rs. 40,000 and Rs. 100000 for Senior citizen.</t>
  </si>
  <si>
    <t>Section 80dd - Any expenditure incurred for the medical treatment including nursing, training, rehabilitation of a dependent being a person with disability. [Rs. 75000 or Rs. 125000 for severe disability]</t>
  </si>
  <si>
    <t>(l)</t>
  </si>
  <si>
    <t>Total of amount deductable under any other provisions of Chapter VI-A. [k(a)+k(b)+k(c)+k(d)+k(e)]</t>
  </si>
  <si>
    <t>(m)</t>
  </si>
  <si>
    <t>Total deductions [10(d+e+f+g+h+i+j+l)</t>
  </si>
  <si>
    <t>Total Taxable Income (Rounded off to nearest ten rupees)</t>
  </si>
  <si>
    <t>Income tax thereon (OLD REGIME)</t>
  </si>
  <si>
    <t>Upto Rs. 2.5</t>
  </si>
  <si>
    <t>5.0 to 10.0</t>
  </si>
  <si>
    <t>&gt; 10.0</t>
  </si>
  <si>
    <t>Income tax thereon (NEW REGIME)</t>
  </si>
  <si>
    <t>Upto Rs. 3.0</t>
  </si>
  <si>
    <t>Rs. 3.0 to 6.0</t>
  </si>
  <si>
    <t>6.0 to 9.0</t>
  </si>
  <si>
    <t>9.0 to 12.0</t>
  </si>
  <si>
    <t>12.0 to 15.0</t>
  </si>
  <si>
    <t>15000 + 10%</t>
  </si>
  <si>
    <t>45000 + 15%</t>
  </si>
  <si>
    <t>90000 + 20%</t>
  </si>
  <si>
    <t>150000 + 30%</t>
  </si>
  <si>
    <t xml:space="preserve">Tax Rebate under section 87A upto Rs. 25000 for individuals having total taxable income in old regime or gross salary in new regime is Rs.7.0 lakhs. </t>
  </si>
  <si>
    <t>Tax after 87-A rebate [Minimum of 12(a) and 12(b)]</t>
  </si>
  <si>
    <t>Add Education Cess @ 4%</t>
  </si>
  <si>
    <t>Less Relief under section 89(1)</t>
  </si>
  <si>
    <t>Tax payable [14+15-16]</t>
  </si>
  <si>
    <t>Balance to be deducted [17-18]</t>
  </si>
  <si>
    <t>I hereby authorize the Office of the DEAN,  PAJANCOA &amp; RI, Karaikal to deduct from Salary appropriate balance amount of  tax from my monthly salary as detailed below:</t>
  </si>
  <si>
    <t>NEW REGIME / OLD REGIME TAX</t>
  </si>
  <si>
    <t>Certified that the particulars furnished above by me are correct.</t>
  </si>
  <si>
    <t>Place:</t>
  </si>
  <si>
    <t>Date:</t>
  </si>
  <si>
    <t>Signature of Assesse</t>
  </si>
  <si>
    <t>CEA/ EL encashment</t>
  </si>
  <si>
    <t>Bonus/ Hono./ ED</t>
  </si>
  <si>
    <t>Total (a+b+c)</t>
  </si>
  <si>
    <t>Rs. 2.5 to 3.0</t>
  </si>
  <si>
    <t>Rs. 3.0  to 5.0</t>
  </si>
  <si>
    <t>EL Encashment received during the year</t>
  </si>
  <si>
    <t>EL Encashment received</t>
  </si>
  <si>
    <t>Total EL encashment</t>
  </si>
  <si>
    <t>Gross Total income for Old tax Regime (6+7-8)</t>
  </si>
  <si>
    <t>Gross Total income for New tax Regime (6+7)</t>
  </si>
  <si>
    <t>Pay / DA Arrears</t>
  </si>
  <si>
    <t>Honorarium/ Bonus/ Election duty</t>
  </si>
  <si>
    <t>Date of Retirement</t>
  </si>
  <si>
    <t>Date of birth (As per the format)</t>
  </si>
  <si>
    <t>CEA/ EL encash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</si>
</sst>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[$-409]d\-mmm\-yyyy;@"/>
    <numFmt numFmtId="166" formatCode="&quot;     &quot;####&quot; &quot;"/>
    <numFmt numFmtId="167" formatCode="&quot;₹&quot;\ #,##0.00"/>
    <numFmt numFmtId="168" formatCode="\(\+\9\1\)\ ##\ ##\ ######"/>
    <numFmt numFmtId="169" formatCode="####\ ####\ ####"/>
    <numFmt numFmtId="170" formatCode="0.000"/>
    <numFmt numFmtId="171" formatCode="&quot;₹&quot;#,##0.00"/>
    <numFmt numFmtId="172" formatCode="yyyy\-mm\-dd;@"/>
  </numFmts>
  <fonts count="30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8"/>
      <color indexed="81"/>
      <name val="Tahoma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9"/>
      <color rgb="FF000000"/>
      <name val="Arial"/>
      <family val="2"/>
    </font>
    <font>
      <b/>
      <sz val="9"/>
      <name val="Cambria"/>
      <family val="1"/>
      <scheme val="major"/>
    </font>
    <font>
      <b/>
      <sz val="11"/>
      <color rgb="FFFF0000"/>
      <name val="Times New Roman"/>
      <family val="1"/>
    </font>
    <font>
      <sz val="10.5"/>
      <color rgb="FF333333"/>
      <name val="Times New Roman"/>
      <family val="1"/>
    </font>
    <font>
      <b/>
      <sz val="12"/>
      <color theme="3" tint="-0.249977111117893"/>
      <name val="Cambria"/>
      <family val="1"/>
      <scheme val="major"/>
    </font>
    <font>
      <b/>
      <sz val="22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0"/>
      <color theme="1"/>
      <name val="Arial Nova"/>
    </font>
    <font>
      <sz val="10"/>
      <color theme="1"/>
      <name val="Arial Nova"/>
    </font>
    <font>
      <sz val="10"/>
      <color indexed="8"/>
      <name val="Arial Nova"/>
    </font>
    <font>
      <sz val="10"/>
      <name val="Arial Nova"/>
    </font>
    <font>
      <b/>
      <sz val="10"/>
      <name val="Arial Nova"/>
    </font>
    <font>
      <b/>
      <i/>
      <sz val="10"/>
      <name val="Arial Nova"/>
    </font>
    <font>
      <i/>
      <sz val="10"/>
      <name val="Arial Nova"/>
    </font>
    <font>
      <sz val="10"/>
      <name val="Arial Nova"/>
      <family val="2"/>
    </font>
    <font>
      <b/>
      <sz val="10"/>
      <color theme="1"/>
      <name val="Arial Nova"/>
      <family val="2"/>
    </font>
    <font>
      <sz val="10"/>
      <color rgb="FF000000"/>
      <name val="Arial Nova"/>
      <charset val="1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93">
    <xf numFmtId="0" fontId="0" fillId="0" borderId="0" xfId="0"/>
    <xf numFmtId="0" fontId="1" fillId="0" borderId="0" xfId="0" applyFont="1"/>
    <xf numFmtId="0" fontId="2" fillId="0" borderId="0" xfId="0" applyFont="1" applyAlignment="1">
      <alignment vertical="justify"/>
    </xf>
    <xf numFmtId="0" fontId="1" fillId="0" borderId="0" xfId="0" applyFont="1" applyAlignment="1">
      <alignment horizontal="center"/>
    </xf>
    <xf numFmtId="1" fontId="1" fillId="0" borderId="0" xfId="0" applyNumberFormat="1" applyFont="1"/>
    <xf numFmtId="0" fontId="8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10" fillId="0" borderId="0" xfId="0" applyFont="1"/>
    <xf numFmtId="0" fontId="0" fillId="6" borderId="0" xfId="0" applyFill="1"/>
    <xf numFmtId="0" fontId="11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/>
    <xf numFmtId="0" fontId="12" fillId="7" borderId="1" xfId="0" applyFont="1" applyFill="1" applyBorder="1" applyAlignment="1">
      <alignment vertical="center"/>
    </xf>
    <xf numFmtId="0" fontId="12" fillId="7" borderId="1" xfId="0" applyFont="1" applyFill="1" applyBorder="1" applyAlignment="1">
      <alignment vertical="center" wrapText="1"/>
    </xf>
    <xf numFmtId="0" fontId="9" fillId="6" borderId="0" xfId="0" applyFont="1" applyFill="1" applyAlignment="1" applyProtection="1">
      <alignment horizontal="center"/>
      <protection locked="0"/>
    </xf>
    <xf numFmtId="9" fontId="5" fillId="9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10" borderId="1" xfId="0" applyFont="1" applyFill="1" applyBorder="1" applyAlignment="1">
      <alignment horizontal="right" vertical="center"/>
    </xf>
    <xf numFmtId="1" fontId="5" fillId="10" borderId="1" xfId="0" applyNumberFormat="1" applyFont="1" applyFill="1" applyBorder="1" applyAlignment="1">
      <alignment vertical="center"/>
    </xf>
    <xf numFmtId="1" fontId="4" fillId="10" borderId="1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1" fontId="5" fillId="5" borderId="3" xfId="0" applyNumberFormat="1" applyFont="1" applyFill="1" applyBorder="1" applyAlignment="1" applyProtection="1">
      <alignment vertical="center"/>
      <protection locked="0"/>
    </xf>
    <xf numFmtId="1" fontId="4" fillId="10" borderId="2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1" fontId="4" fillId="10" borderId="5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1" fontId="5" fillId="7" borderId="1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4" fillId="10" borderId="1" xfId="0" applyFont="1" applyFill="1" applyBorder="1" applyAlignment="1">
      <alignment horizontal="right" vertical="center"/>
    </xf>
    <xf numFmtId="0" fontId="4" fillId="10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right" vertical="center"/>
    </xf>
    <xf numFmtId="0" fontId="9" fillId="6" borderId="0" xfId="0" applyFont="1" applyFill="1" applyAlignment="1">
      <alignment horizontal="center"/>
    </xf>
    <xf numFmtId="0" fontId="5" fillId="5" borderId="1" xfId="0" applyFont="1" applyFill="1" applyBorder="1" applyAlignment="1" applyProtection="1">
      <alignment horizontal="right" vertical="center"/>
      <protection locked="0"/>
    </xf>
    <xf numFmtId="0" fontId="5" fillId="5" borderId="7" xfId="0" applyFont="1" applyFill="1" applyBorder="1" applyAlignment="1" applyProtection="1">
      <alignment vertical="center"/>
      <protection locked="0"/>
    </xf>
    <xf numFmtId="0" fontId="5" fillId="5" borderId="1" xfId="0" applyFont="1" applyFill="1" applyBorder="1" applyAlignment="1" applyProtection="1">
      <alignment vertical="center"/>
      <protection locked="0"/>
    </xf>
    <xf numFmtId="0" fontId="5" fillId="11" borderId="7" xfId="0" applyFont="1" applyFill="1" applyBorder="1" applyAlignment="1">
      <alignment vertical="center"/>
    </xf>
    <xf numFmtId="1" fontId="5" fillId="6" borderId="1" xfId="0" applyNumberFormat="1" applyFont="1" applyFill="1" applyBorder="1" applyAlignment="1" applyProtection="1">
      <alignment vertical="center"/>
      <protection locked="0"/>
    </xf>
    <xf numFmtId="1" fontId="5" fillId="12" borderId="1" xfId="0" applyNumberFormat="1" applyFont="1" applyFill="1" applyBorder="1" applyAlignment="1">
      <alignment vertical="center"/>
    </xf>
    <xf numFmtId="1" fontId="4" fillId="8" borderId="1" xfId="0" applyNumberFormat="1" applyFont="1" applyFill="1" applyBorder="1" applyAlignment="1">
      <alignment horizontal="right" vertical="center"/>
    </xf>
    <xf numFmtId="0" fontId="16" fillId="13" borderId="0" xfId="0" applyFont="1" applyFill="1" applyAlignment="1">
      <alignment horizontal="left" vertical="center" indent="1"/>
    </xf>
    <xf numFmtId="0" fontId="5" fillId="8" borderId="1" xfId="0" applyFont="1" applyFill="1" applyBorder="1" applyAlignment="1">
      <alignment horizontal="right" vertical="center"/>
    </xf>
    <xf numFmtId="49" fontId="11" fillId="15" borderId="1" xfId="0" applyNumberFormat="1" applyFont="1" applyFill="1" applyBorder="1" applyAlignment="1" applyProtection="1">
      <alignment vertical="center"/>
      <protection locked="0"/>
    </xf>
    <xf numFmtId="49" fontId="12" fillId="15" borderId="1" xfId="0" applyNumberFormat="1" applyFont="1" applyFill="1" applyBorder="1" applyAlignment="1" applyProtection="1">
      <alignment vertical="center"/>
      <protection locked="0"/>
    </xf>
    <xf numFmtId="166" fontId="11" fillId="15" borderId="1" xfId="0" applyNumberFormat="1" applyFont="1" applyFill="1" applyBorder="1" applyAlignment="1" applyProtection="1">
      <alignment vertical="center"/>
      <protection locked="0"/>
    </xf>
    <xf numFmtId="168" fontId="11" fillId="15" borderId="1" xfId="0" applyNumberFormat="1" applyFont="1" applyFill="1" applyBorder="1" applyAlignment="1" applyProtection="1">
      <alignment horizontal="left" vertical="center"/>
      <protection locked="0"/>
    </xf>
    <xf numFmtId="0" fontId="7" fillId="15" borderId="1" xfId="2" applyFill="1" applyBorder="1" applyAlignment="1" applyProtection="1">
      <alignment vertical="center"/>
      <protection locked="0"/>
    </xf>
    <xf numFmtId="0" fontId="11" fillId="15" borderId="1" xfId="0" applyFont="1" applyFill="1" applyBorder="1" applyAlignment="1" applyProtection="1">
      <alignment horizontal="left" vertical="center"/>
      <protection locked="0"/>
    </xf>
    <xf numFmtId="169" fontId="11" fillId="15" borderId="1" xfId="0" applyNumberFormat="1" applyFont="1" applyFill="1" applyBorder="1" applyAlignment="1" applyProtection="1">
      <alignment horizontal="left" vertical="center"/>
      <protection locked="0"/>
    </xf>
    <xf numFmtId="0" fontId="11" fillId="15" borderId="1" xfId="0" applyFont="1" applyFill="1" applyBorder="1" applyAlignment="1" applyProtection="1">
      <alignment horizontal="center" vertical="center"/>
      <protection locked="0"/>
    </xf>
    <xf numFmtId="0" fontId="11" fillId="15" borderId="1" xfId="0" applyFont="1" applyFill="1" applyBorder="1" applyAlignment="1" applyProtection="1">
      <alignment horizontal="right" vertical="center"/>
      <protection locked="0"/>
    </xf>
    <xf numFmtId="0" fontId="12" fillId="15" borderId="1" xfId="0" applyFont="1" applyFill="1" applyBorder="1" applyAlignment="1" applyProtection="1">
      <alignment horizontal="center" vertical="center"/>
      <protection locked="0"/>
    </xf>
    <xf numFmtId="165" fontId="12" fillId="15" borderId="1" xfId="0" applyNumberFormat="1" applyFont="1" applyFill="1" applyBorder="1" applyAlignment="1" applyProtection="1">
      <alignment horizontal="center" vertical="center"/>
      <protection locked="0"/>
    </xf>
    <xf numFmtId="0" fontId="12" fillId="15" borderId="1" xfId="0" applyFont="1" applyFill="1" applyBorder="1" applyProtection="1">
      <protection locked="0"/>
    </xf>
    <xf numFmtId="0" fontId="12" fillId="15" borderId="1" xfId="0" applyFont="1" applyFill="1" applyBorder="1" applyAlignment="1" applyProtection="1">
      <alignment vertical="center" wrapText="1"/>
      <protection locked="0"/>
    </xf>
    <xf numFmtId="165" fontId="12" fillId="12" borderId="1" xfId="0" applyNumberFormat="1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22" fontId="0" fillId="0" borderId="0" xfId="0" applyNumberFormat="1"/>
    <xf numFmtId="49" fontId="11" fillId="14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14" borderId="3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1" xfId="0" applyFont="1" applyFill="1" applyBorder="1" applyAlignment="1">
      <alignment vertical="center" wrapText="1"/>
    </xf>
    <xf numFmtId="0" fontId="17" fillId="7" borderId="1" xfId="0" applyFont="1" applyFill="1" applyBorder="1" applyAlignment="1">
      <alignment vertical="center"/>
    </xf>
    <xf numFmtId="0" fontId="17" fillId="7" borderId="1" xfId="0" applyFont="1" applyFill="1" applyBorder="1" applyAlignment="1">
      <alignment horizontal="justify" vertical="center"/>
    </xf>
    <xf numFmtId="0" fontId="18" fillId="14" borderId="0" xfId="0" quotePrefix="1" applyFont="1" applyFill="1" applyAlignment="1">
      <alignment horizontal="center"/>
    </xf>
    <xf numFmtId="0" fontId="0" fillId="16" borderId="0" xfId="0" applyFill="1"/>
    <xf numFmtId="0" fontId="10" fillId="16" borderId="0" xfId="0" applyFont="1" applyFill="1"/>
    <xf numFmtId="0" fontId="9" fillId="16" borderId="0" xfId="0" applyFont="1" applyFill="1"/>
    <xf numFmtId="167" fontId="11" fillId="0" borderId="1" xfId="0" applyNumberFormat="1" applyFont="1" applyBorder="1"/>
    <xf numFmtId="167" fontId="11" fillId="7" borderId="1" xfId="0" applyNumberFormat="1" applyFont="1" applyFill="1" applyBorder="1"/>
    <xf numFmtId="167" fontId="12" fillId="0" borderId="1" xfId="0" applyNumberFormat="1" applyFont="1" applyBorder="1" applyAlignment="1">
      <alignment vertical="center" wrapText="1"/>
    </xf>
    <xf numFmtId="167" fontId="12" fillId="7" borderId="1" xfId="0" applyNumberFormat="1" applyFont="1" applyFill="1" applyBorder="1" applyAlignment="1">
      <alignment vertical="center" wrapText="1"/>
    </xf>
    <xf numFmtId="167" fontId="12" fillId="15" borderId="1" xfId="0" applyNumberFormat="1" applyFont="1" applyFill="1" applyBorder="1" applyProtection="1">
      <protection locked="0"/>
    </xf>
    <xf numFmtId="167" fontId="12" fillId="15" borderId="1" xfId="0" applyNumberFormat="1" applyFont="1" applyFill="1" applyBorder="1" applyAlignment="1" applyProtection="1">
      <alignment vertical="center"/>
      <protection locked="0"/>
    </xf>
    <xf numFmtId="0" fontId="17" fillId="7" borderId="1" xfId="0" applyFont="1" applyFill="1" applyBorder="1" applyAlignment="1">
      <alignment horizontal="left" vertical="center"/>
    </xf>
    <xf numFmtId="0" fontId="0" fillId="16" borderId="0" xfId="0" applyFill="1" applyAlignment="1">
      <alignment horizontal="left"/>
    </xf>
    <xf numFmtId="1" fontId="5" fillId="5" borderId="3" xfId="0" quotePrefix="1" applyNumberFormat="1" applyFont="1" applyFill="1" applyBorder="1" applyAlignment="1" applyProtection="1">
      <alignment vertical="center"/>
      <protection locked="0"/>
    </xf>
    <xf numFmtId="170" fontId="12" fillId="12" borderId="1" xfId="0" applyNumberFormat="1" applyFont="1" applyFill="1" applyBorder="1" applyAlignment="1">
      <alignment horizontal="center" vertical="center"/>
    </xf>
    <xf numFmtId="0" fontId="14" fillId="16" borderId="0" xfId="0" applyFont="1" applyFill="1" applyAlignment="1">
      <alignment horizontal="right" vertical="center"/>
    </xf>
    <xf numFmtId="0" fontId="12" fillId="16" borderId="0" xfId="0" applyFont="1" applyFill="1"/>
    <xf numFmtId="1" fontId="5" fillId="5" borderId="1" xfId="0" quotePrefix="1" applyNumberFormat="1" applyFont="1" applyFill="1" applyBorder="1" applyAlignment="1" applyProtection="1">
      <alignment vertical="center"/>
      <protection locked="0"/>
    </xf>
    <xf numFmtId="1" fontId="5" fillId="5" borderId="1" xfId="0" applyNumberFormat="1" applyFont="1" applyFill="1" applyBorder="1" applyAlignment="1" applyProtection="1">
      <alignment vertical="center"/>
      <protection locked="0"/>
    </xf>
    <xf numFmtId="0" fontId="13" fillId="0" borderId="0" xfId="0" applyFont="1"/>
    <xf numFmtId="167" fontId="12" fillId="7" borderId="1" xfId="0" applyNumberFormat="1" applyFont="1" applyFill="1" applyBorder="1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left" vertical="center"/>
    </xf>
    <xf numFmtId="0" fontId="20" fillId="3" borderId="1" xfId="0" applyFont="1" applyFill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top"/>
    </xf>
    <xf numFmtId="171" fontId="21" fillId="0" borderId="1" xfId="1" applyNumberFormat="1" applyFont="1" applyBorder="1" applyAlignment="1" applyProtection="1">
      <alignment horizontal="right" vertical="center"/>
    </xf>
    <xf numFmtId="0" fontId="21" fillId="0" borderId="1" xfId="0" applyFont="1" applyBorder="1" applyAlignment="1">
      <alignment horizontal="center" vertical="center"/>
    </xf>
    <xf numFmtId="171" fontId="21" fillId="5" borderId="1" xfId="1" applyNumberFormat="1" applyFont="1" applyFill="1" applyBorder="1" applyAlignment="1" applyProtection="1">
      <alignment horizontal="right" vertical="center"/>
      <protection locked="0"/>
    </xf>
    <xf numFmtId="171" fontId="21" fillId="3" borderId="1" xfId="1" applyNumberFormat="1" applyFont="1" applyFill="1" applyBorder="1" applyAlignment="1" applyProtection="1">
      <alignment vertical="center"/>
    </xf>
    <xf numFmtId="171" fontId="21" fillId="5" borderId="1" xfId="1" applyNumberFormat="1" applyFont="1" applyFill="1" applyBorder="1" applyAlignment="1" applyProtection="1">
      <alignment vertical="center"/>
      <protection locked="0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171" fontId="23" fillId="5" borderId="1" xfId="1" applyNumberFormat="1" applyFont="1" applyFill="1" applyBorder="1" applyAlignment="1" applyProtection="1">
      <alignment horizontal="right" vertical="center"/>
      <protection locked="0"/>
    </xf>
    <xf numFmtId="171" fontId="23" fillId="5" borderId="1" xfId="1" applyNumberFormat="1" applyFont="1" applyFill="1" applyBorder="1" applyAlignment="1" applyProtection="1">
      <alignment vertical="center"/>
      <protection locked="0"/>
    </xf>
    <xf numFmtId="171" fontId="23" fillId="5" borderId="1" xfId="1" applyNumberFormat="1" applyFont="1" applyFill="1" applyBorder="1" applyAlignment="1" applyProtection="1">
      <alignment horizontal="center" vertical="center"/>
      <protection locked="0"/>
    </xf>
    <xf numFmtId="167" fontId="23" fillId="0" borderId="1" xfId="0" applyNumberFormat="1" applyFont="1" applyBorder="1" applyAlignment="1">
      <alignment horizontal="right" vertical="center"/>
    </xf>
    <xf numFmtId="171" fontId="24" fillId="0" borderId="1" xfId="1" applyNumberFormat="1" applyFont="1" applyBorder="1" applyAlignment="1" applyProtection="1">
      <alignment horizontal="right" vertical="center"/>
    </xf>
    <xf numFmtId="171" fontId="24" fillId="5" borderId="1" xfId="1" applyNumberFormat="1" applyFont="1" applyFill="1" applyBorder="1" applyAlignment="1" applyProtection="1">
      <alignment horizontal="right" vertical="center"/>
      <protection locked="0"/>
    </xf>
    <xf numFmtId="0" fontId="23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horizontal="left" vertical="top"/>
    </xf>
    <xf numFmtId="171" fontId="23" fillId="0" borderId="1" xfId="1" applyNumberFormat="1" applyFont="1" applyFill="1" applyBorder="1" applyAlignment="1" applyProtection="1">
      <alignment horizontal="right" vertical="top"/>
    </xf>
    <xf numFmtId="2" fontId="23" fillId="5" borderId="1" xfId="1" applyNumberFormat="1" applyFont="1" applyFill="1" applyBorder="1" applyAlignment="1" applyProtection="1">
      <alignment horizontal="right" vertical="top"/>
      <protection locked="0"/>
    </xf>
    <xf numFmtId="2" fontId="23" fillId="3" borderId="1" xfId="1" applyNumberFormat="1" applyFont="1" applyFill="1" applyBorder="1" applyAlignment="1" applyProtection="1">
      <alignment horizontal="right" vertical="center"/>
    </xf>
    <xf numFmtId="167" fontId="23" fillId="5" borderId="1" xfId="0" applyNumberFormat="1" applyFont="1" applyFill="1" applyBorder="1" applyAlignment="1" applyProtection="1">
      <alignment horizontal="right" vertical="center"/>
      <protection locked="0"/>
    </xf>
    <xf numFmtId="171" fontId="23" fillId="5" borderId="1" xfId="0" applyNumberFormat="1" applyFont="1" applyFill="1" applyBorder="1" applyAlignment="1" applyProtection="1">
      <alignment vertical="top" wrapText="1"/>
      <protection locked="0"/>
    </xf>
    <xf numFmtId="171" fontId="24" fillId="0" borderId="1" xfId="1" applyNumberFormat="1" applyFont="1" applyBorder="1" applyAlignment="1" applyProtection="1">
      <alignment horizontal="right" vertical="top"/>
    </xf>
    <xf numFmtId="0" fontId="23" fillId="0" borderId="1" xfId="0" applyFont="1" applyBorder="1"/>
    <xf numFmtId="171" fontId="23" fillId="0" borderId="1" xfId="0" applyNumberFormat="1" applyFont="1" applyBorder="1"/>
    <xf numFmtId="4" fontId="23" fillId="0" borderId="1" xfId="0" applyNumberFormat="1" applyFont="1" applyBorder="1"/>
    <xf numFmtId="4" fontId="23" fillId="17" borderId="1" xfId="0" applyNumberFormat="1" applyFont="1" applyFill="1" applyBorder="1"/>
    <xf numFmtId="171" fontId="21" fillId="0" borderId="1" xfId="0" applyNumberFormat="1" applyFont="1" applyBorder="1" applyAlignment="1">
      <alignment vertical="center"/>
    </xf>
    <xf numFmtId="171" fontId="21" fillId="3" borderId="1" xfId="0" applyNumberFormat="1" applyFont="1" applyFill="1" applyBorder="1" applyAlignment="1">
      <alignment vertical="center"/>
    </xf>
    <xf numFmtId="171" fontId="21" fillId="0" borderId="1" xfId="0" applyNumberFormat="1" applyFont="1" applyBorder="1"/>
    <xf numFmtId="171" fontId="23" fillId="0" borderId="1" xfId="0" applyNumberFormat="1" applyFont="1" applyBorder="1" applyAlignment="1">
      <alignment vertical="center"/>
    </xf>
    <xf numFmtId="171" fontId="24" fillId="3" borderId="1" xfId="0" applyNumberFormat="1" applyFont="1" applyFill="1" applyBorder="1" applyAlignment="1">
      <alignment horizontal="right" vertical="center"/>
    </xf>
    <xf numFmtId="167" fontId="21" fillId="0" borderId="1" xfId="0" applyNumberFormat="1" applyFont="1" applyBorder="1"/>
    <xf numFmtId="0" fontId="21" fillId="0" borderId="1" xfId="0" applyFont="1" applyBorder="1" applyAlignment="1">
      <alignment vertical="top"/>
    </xf>
    <xf numFmtId="171" fontId="21" fillId="5" borderId="1" xfId="0" applyNumberFormat="1" applyFont="1" applyFill="1" applyBorder="1" applyProtection="1">
      <protection locked="0"/>
    </xf>
    <xf numFmtId="0" fontId="21" fillId="3" borderId="1" xfId="0" applyFont="1" applyFill="1" applyBorder="1" applyAlignment="1">
      <alignment vertical="center" wrapText="1"/>
    </xf>
    <xf numFmtId="167" fontId="21" fillId="0" borderId="1" xfId="0" applyNumberFormat="1" applyFont="1" applyBorder="1" applyAlignment="1">
      <alignment vertical="center"/>
    </xf>
    <xf numFmtId="0" fontId="21" fillId="0" borderId="1" xfId="0" applyFont="1" applyBorder="1"/>
    <xf numFmtId="0" fontId="23" fillId="3" borderId="1" xfId="0" applyFont="1" applyFill="1" applyBorder="1"/>
    <xf numFmtId="0" fontId="26" fillId="3" borderId="1" xfId="0" applyFont="1" applyFill="1" applyBorder="1" applyAlignment="1">
      <alignment vertical="top"/>
    </xf>
    <xf numFmtId="0" fontId="26" fillId="0" borderId="1" xfId="0" applyFont="1" applyBorder="1" applyAlignment="1">
      <alignment vertical="top"/>
    </xf>
    <xf numFmtId="0" fontId="26" fillId="3" borderId="1" xfId="0" applyFont="1" applyFill="1" applyBorder="1" applyAlignment="1">
      <alignment horizontal="left" vertical="top"/>
    </xf>
    <xf numFmtId="0" fontId="26" fillId="0" borderId="1" xfId="0" applyFont="1" applyBorder="1" applyAlignment="1">
      <alignment horizontal="left" vertical="top"/>
    </xf>
    <xf numFmtId="171" fontId="23" fillId="0" borderId="1" xfId="0" applyNumberFormat="1" applyFont="1" applyBorder="1" applyAlignment="1">
      <alignment vertical="top"/>
    </xf>
    <xf numFmtId="0" fontId="21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1" fillId="7" borderId="3" xfId="0" applyFont="1" applyFill="1" applyBorder="1" applyAlignment="1">
      <alignment horizontal="left" vertical="center" wrapText="1"/>
    </xf>
    <xf numFmtId="0" fontId="11" fillId="7" borderId="8" xfId="0" applyFont="1" applyFill="1" applyBorder="1" applyAlignment="1">
      <alignment horizontal="left" vertical="center" wrapText="1"/>
    </xf>
    <xf numFmtId="0" fontId="11" fillId="7" borderId="4" xfId="0" applyFont="1" applyFill="1" applyBorder="1" applyAlignment="1">
      <alignment horizontal="left" vertical="center" wrapText="1"/>
    </xf>
    <xf numFmtId="0" fontId="12" fillId="7" borderId="3" xfId="0" applyFont="1" applyFill="1" applyBorder="1" applyAlignment="1">
      <alignment horizontal="left" vertical="center"/>
    </xf>
    <xf numFmtId="0" fontId="12" fillId="7" borderId="8" xfId="0" applyFont="1" applyFill="1" applyBorder="1" applyAlignment="1">
      <alignment horizontal="left" vertical="center"/>
    </xf>
    <xf numFmtId="0" fontId="12" fillId="7" borderId="4" xfId="0" applyFont="1" applyFill="1" applyBorder="1" applyAlignment="1">
      <alignment horizontal="left" vertical="center"/>
    </xf>
    <xf numFmtId="171" fontId="29" fillId="0" borderId="1" xfId="0" applyNumberFormat="1" applyFont="1" applyBorder="1" applyAlignment="1">
      <alignment horizontal="right" vertical="center"/>
    </xf>
    <xf numFmtId="0" fontId="4" fillId="6" borderId="2" xfId="0" applyFont="1" applyFill="1" applyBorder="1" applyAlignment="1">
      <alignment vertical="center"/>
    </xf>
    <xf numFmtId="0" fontId="4" fillId="6" borderId="5" xfId="0" applyFont="1" applyFill="1" applyBorder="1" applyAlignment="1">
      <alignment vertical="center"/>
    </xf>
    <xf numFmtId="0" fontId="4" fillId="6" borderId="7" xfId="0" applyFont="1" applyFill="1" applyBorder="1" applyAlignment="1">
      <alignment vertical="center"/>
    </xf>
    <xf numFmtId="172" fontId="4" fillId="6" borderId="1" xfId="0" applyNumberFormat="1" applyFont="1" applyFill="1" applyBorder="1" applyAlignment="1">
      <alignment horizontal="left" vertical="center"/>
    </xf>
    <xf numFmtId="165" fontId="4" fillId="6" borderId="1" xfId="0" applyNumberFormat="1" applyFont="1" applyFill="1" applyBorder="1" applyAlignment="1">
      <alignment vertical="center"/>
    </xf>
    <xf numFmtId="0" fontId="14" fillId="7" borderId="3" xfId="0" applyFont="1" applyFill="1" applyBorder="1" applyAlignment="1">
      <alignment horizontal="right" vertical="center"/>
    </xf>
    <xf numFmtId="0" fontId="14" fillId="7" borderId="8" xfId="0" applyFont="1" applyFill="1" applyBorder="1" applyAlignment="1">
      <alignment horizontal="right" vertical="center"/>
    </xf>
    <xf numFmtId="0" fontId="14" fillId="7" borderId="4" xfId="0" applyFont="1" applyFill="1" applyBorder="1" applyAlignment="1">
      <alignment horizontal="right" vertical="center"/>
    </xf>
    <xf numFmtId="49" fontId="11" fillId="14" borderId="3" xfId="0" applyNumberFormat="1" applyFont="1" applyFill="1" applyBorder="1" applyAlignment="1" applyProtection="1">
      <alignment horizontal="left" vertical="center" wrapText="1"/>
      <protection locked="0"/>
    </xf>
    <xf numFmtId="49" fontId="11" fillId="14" borderId="8" xfId="0" applyNumberFormat="1" applyFont="1" applyFill="1" applyBorder="1" applyAlignment="1" applyProtection="1">
      <alignment horizontal="left" vertical="center" wrapText="1"/>
      <protection locked="0"/>
    </xf>
    <xf numFmtId="49" fontId="11" fillId="14" borderId="4" xfId="0" applyNumberFormat="1" applyFont="1" applyFill="1" applyBorder="1" applyAlignment="1" applyProtection="1">
      <alignment horizontal="left" vertical="center" wrapText="1"/>
      <protection locked="0"/>
    </xf>
    <xf numFmtId="0" fontId="12" fillId="7" borderId="3" xfId="0" applyFont="1" applyFill="1" applyBorder="1" applyAlignment="1">
      <alignment horizontal="left"/>
    </xf>
    <xf numFmtId="0" fontId="12" fillId="7" borderId="8" xfId="0" applyFont="1" applyFill="1" applyBorder="1" applyAlignment="1">
      <alignment horizontal="left"/>
    </xf>
    <xf numFmtId="0" fontId="12" fillId="7" borderId="4" xfId="0" applyFont="1" applyFill="1" applyBorder="1" applyAlignment="1">
      <alignment horizontal="left"/>
    </xf>
    <xf numFmtId="0" fontId="14" fillId="10" borderId="1" xfId="0" applyFont="1" applyFill="1" applyBorder="1" applyAlignment="1">
      <alignment horizontal="left" vertical="center"/>
    </xf>
    <xf numFmtId="0" fontId="14" fillId="10" borderId="1" xfId="0" applyFont="1" applyFill="1" applyBorder="1" applyAlignment="1">
      <alignment horizontal="center" vertical="center" wrapText="1"/>
    </xf>
    <xf numFmtId="0" fontId="12" fillId="15" borderId="3" xfId="0" applyFont="1" applyFill="1" applyBorder="1" applyAlignment="1" applyProtection="1">
      <alignment vertical="center" wrapText="1"/>
      <protection locked="0"/>
    </xf>
    <xf numFmtId="0" fontId="12" fillId="15" borderId="8" xfId="0" applyFont="1" applyFill="1" applyBorder="1" applyAlignment="1" applyProtection="1">
      <alignment vertical="center" wrapText="1"/>
      <protection locked="0"/>
    </xf>
    <xf numFmtId="0" fontId="12" fillId="15" borderId="4" xfId="0" applyFont="1" applyFill="1" applyBorder="1" applyAlignment="1" applyProtection="1">
      <alignment vertical="center" wrapText="1"/>
      <protection locked="0"/>
    </xf>
    <xf numFmtId="0" fontId="14" fillId="10" borderId="3" xfId="0" applyFont="1" applyFill="1" applyBorder="1" applyAlignment="1">
      <alignment horizontal="left" vertical="center"/>
    </xf>
    <xf numFmtId="0" fontId="14" fillId="10" borderId="8" xfId="0" applyFont="1" applyFill="1" applyBorder="1" applyAlignment="1">
      <alignment horizontal="left" vertical="center"/>
    </xf>
    <xf numFmtId="0" fontId="14" fillId="10" borderId="4" xfId="0" applyFont="1" applyFill="1" applyBorder="1" applyAlignment="1">
      <alignment horizontal="left" vertical="center"/>
    </xf>
    <xf numFmtId="0" fontId="11" fillId="7" borderId="3" xfId="0" applyFont="1" applyFill="1" applyBorder="1" applyAlignment="1">
      <alignment horizontal="left" vertical="center" wrapText="1"/>
    </xf>
    <xf numFmtId="0" fontId="11" fillId="7" borderId="8" xfId="0" applyFont="1" applyFill="1" applyBorder="1" applyAlignment="1">
      <alignment horizontal="left" vertical="center" wrapText="1"/>
    </xf>
    <xf numFmtId="0" fontId="11" fillId="7" borderId="4" xfId="0" applyFont="1" applyFill="1" applyBorder="1" applyAlignment="1">
      <alignment horizontal="left" vertical="center" wrapText="1"/>
    </xf>
    <xf numFmtId="0" fontId="14" fillId="7" borderId="3" xfId="0" applyFont="1" applyFill="1" applyBorder="1" applyAlignment="1">
      <alignment horizontal="right" vertical="center" wrapText="1"/>
    </xf>
    <xf numFmtId="0" fontId="14" fillId="7" borderId="8" xfId="0" applyFont="1" applyFill="1" applyBorder="1" applyAlignment="1">
      <alignment horizontal="right" vertical="center" wrapText="1"/>
    </xf>
    <xf numFmtId="0" fontId="14" fillId="7" borderId="4" xfId="0" applyFont="1" applyFill="1" applyBorder="1" applyAlignment="1">
      <alignment horizontal="right" vertical="center" wrapText="1"/>
    </xf>
    <xf numFmtId="0" fontId="12" fillId="7" borderId="3" xfId="0" applyFont="1" applyFill="1" applyBorder="1" applyAlignment="1">
      <alignment horizontal="left" vertical="center"/>
    </xf>
    <xf numFmtId="0" fontId="12" fillId="7" borderId="8" xfId="0" applyFont="1" applyFill="1" applyBorder="1" applyAlignment="1">
      <alignment horizontal="left" vertical="center"/>
    </xf>
    <xf numFmtId="0" fontId="12" fillId="7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justify"/>
    </xf>
    <xf numFmtId="0" fontId="15" fillId="6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3" fillId="0" borderId="3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167" fontId="23" fillId="0" borderId="2" xfId="0" applyNumberFormat="1" applyFont="1" applyBorder="1" applyAlignment="1">
      <alignment horizontal="right" vertical="center"/>
    </xf>
    <xf numFmtId="167" fontId="23" fillId="0" borderId="7" xfId="0" applyNumberFormat="1" applyFont="1" applyBorder="1" applyAlignment="1">
      <alignment horizontal="right" vertical="center"/>
    </xf>
    <xf numFmtId="0" fontId="20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left" vertical="top"/>
    </xf>
    <xf numFmtId="0" fontId="21" fillId="0" borderId="0" xfId="0" applyFont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4" fillId="3" borderId="1" xfId="0" applyFont="1" applyFill="1" applyBorder="1" applyAlignment="1">
      <alignment horizontal="right" vertical="center"/>
    </xf>
    <xf numFmtId="0" fontId="23" fillId="0" borderId="1" xfId="0" applyFont="1" applyBorder="1" applyAlignment="1">
      <alignment horizontal="left" vertical="center"/>
    </xf>
    <xf numFmtId="0" fontId="23" fillId="3" borderId="3" xfId="0" applyFont="1" applyFill="1" applyBorder="1" applyAlignment="1">
      <alignment horizontal="right" vertical="center"/>
    </xf>
    <xf numFmtId="0" fontId="23" fillId="3" borderId="8" xfId="0" applyFont="1" applyFill="1" applyBorder="1" applyAlignment="1">
      <alignment horizontal="right" vertical="center"/>
    </xf>
    <xf numFmtId="0" fontId="23" fillId="3" borderId="4" xfId="0" applyFont="1" applyFill="1" applyBorder="1" applyAlignment="1">
      <alignment horizontal="right" vertical="center"/>
    </xf>
    <xf numFmtId="0" fontId="23" fillId="3" borderId="1" xfId="0" applyFont="1" applyFill="1" applyBorder="1" applyAlignment="1">
      <alignment horizontal="right" vertical="center"/>
    </xf>
    <xf numFmtId="4" fontId="23" fillId="3" borderId="14" xfId="0" applyNumberFormat="1" applyFont="1" applyFill="1" applyBorder="1" applyAlignment="1">
      <alignment horizontal="center"/>
    </xf>
    <xf numFmtId="4" fontId="23" fillId="3" borderId="6" xfId="0" applyNumberFormat="1" applyFont="1" applyFill="1" applyBorder="1" applyAlignment="1">
      <alignment horizontal="center"/>
    </xf>
    <xf numFmtId="4" fontId="23" fillId="3" borderId="9" xfId="0" applyNumberFormat="1" applyFont="1" applyFill="1" applyBorder="1" applyAlignment="1">
      <alignment horizontal="center"/>
    </xf>
    <xf numFmtId="4" fontId="23" fillId="3" borderId="13" xfId="0" applyNumberFormat="1" applyFont="1" applyFill="1" applyBorder="1" applyAlignment="1">
      <alignment horizontal="center"/>
    </xf>
    <xf numFmtId="4" fontId="23" fillId="3" borderId="0" xfId="0" applyNumberFormat="1" applyFont="1" applyFill="1" applyAlignment="1">
      <alignment horizontal="center"/>
    </xf>
    <xf numFmtId="4" fontId="23" fillId="3" borderId="12" xfId="0" applyNumberFormat="1" applyFont="1" applyFill="1" applyBorder="1" applyAlignment="1">
      <alignment horizontal="center"/>
    </xf>
    <xf numFmtId="4" fontId="23" fillId="3" borderId="15" xfId="0" applyNumberFormat="1" applyFont="1" applyFill="1" applyBorder="1" applyAlignment="1">
      <alignment horizontal="center"/>
    </xf>
    <xf numFmtId="4" fontId="23" fillId="3" borderId="11" xfId="0" applyNumberFormat="1" applyFont="1" applyFill="1" applyBorder="1" applyAlignment="1">
      <alignment horizontal="center"/>
    </xf>
    <xf numFmtId="4" fontId="23" fillId="3" borderId="10" xfId="0" applyNumberFormat="1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2" fontId="23" fillId="3" borderId="2" xfId="1" applyNumberFormat="1" applyFont="1" applyFill="1" applyBorder="1" applyAlignment="1" applyProtection="1">
      <alignment horizontal="center" vertical="center"/>
    </xf>
    <xf numFmtId="2" fontId="23" fillId="3" borderId="7" xfId="1" applyNumberFormat="1" applyFont="1" applyFill="1" applyBorder="1" applyAlignment="1" applyProtection="1">
      <alignment horizontal="center" vertical="center"/>
    </xf>
    <xf numFmtId="0" fontId="23" fillId="3" borderId="2" xfId="0" applyFont="1" applyFill="1" applyBorder="1" applyAlignment="1">
      <alignment horizontal="center"/>
    </xf>
    <xf numFmtId="0" fontId="23" fillId="3" borderId="5" xfId="0" applyFont="1" applyFill="1" applyBorder="1" applyAlignment="1">
      <alignment horizontal="center"/>
    </xf>
    <xf numFmtId="0" fontId="23" fillId="3" borderId="7" xfId="0" applyFont="1" applyFill="1" applyBorder="1" applyAlignment="1">
      <alignment horizontal="center"/>
    </xf>
    <xf numFmtId="2" fontId="24" fillId="3" borderId="2" xfId="1" applyNumberFormat="1" applyFont="1" applyFill="1" applyBorder="1" applyAlignment="1" applyProtection="1">
      <alignment horizontal="center" vertical="center"/>
    </xf>
    <xf numFmtId="2" fontId="24" fillId="3" borderId="5" xfId="1" applyNumberFormat="1" applyFont="1" applyFill="1" applyBorder="1" applyAlignment="1" applyProtection="1">
      <alignment horizontal="center" vertical="center"/>
    </xf>
    <xf numFmtId="2" fontId="24" fillId="3" borderId="7" xfId="1" applyNumberFormat="1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left" vertical="center"/>
    </xf>
    <xf numFmtId="49" fontId="20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top"/>
    </xf>
    <xf numFmtId="0" fontId="20" fillId="3" borderId="1" xfId="0" applyFont="1" applyFill="1" applyBorder="1" applyAlignment="1">
      <alignment horizontal="right"/>
    </xf>
    <xf numFmtId="0" fontId="20" fillId="3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left"/>
    </xf>
    <xf numFmtId="0" fontId="22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center" vertical="top"/>
    </xf>
    <xf numFmtId="0" fontId="21" fillId="0" borderId="5" xfId="0" applyFont="1" applyBorder="1" applyAlignment="1">
      <alignment horizontal="center" vertical="top"/>
    </xf>
    <xf numFmtId="0" fontId="20" fillId="3" borderId="1" xfId="0" applyFont="1" applyFill="1" applyBorder="1" applyAlignment="1">
      <alignment horizontal="right" vertical="center" wrapText="1"/>
    </xf>
    <xf numFmtId="168" fontId="21" fillId="0" borderId="0" xfId="0" applyNumberFormat="1" applyFont="1" applyAlignment="1">
      <alignment horizontal="left" vertical="center" wrapText="1"/>
    </xf>
    <xf numFmtId="49" fontId="20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71" fontId="21" fillId="3" borderId="2" xfId="0" applyNumberFormat="1" applyFont="1" applyFill="1" applyBorder="1" applyAlignment="1">
      <alignment horizontal="center" vertical="center"/>
    </xf>
    <xf numFmtId="171" fontId="21" fillId="3" borderId="5" xfId="0" applyNumberFormat="1" applyFont="1" applyFill="1" applyBorder="1" applyAlignment="1">
      <alignment horizontal="center" vertical="center"/>
    </xf>
    <xf numFmtId="171" fontId="21" fillId="3" borderId="7" xfId="0" applyNumberFormat="1" applyFont="1" applyFill="1" applyBorder="1" applyAlignment="1">
      <alignment horizontal="center" vertical="center"/>
    </xf>
    <xf numFmtId="0" fontId="20" fillId="15" borderId="0" xfId="0" applyFont="1" applyFill="1" applyAlignment="1" applyProtection="1">
      <alignment horizontal="center" vertical="center"/>
      <protection locked="0"/>
    </xf>
    <xf numFmtId="0" fontId="28" fillId="15" borderId="0" xfId="0" applyFont="1" applyFill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169" fontId="21" fillId="0" borderId="11" xfId="0" applyNumberFormat="1" applyFont="1" applyBorder="1" applyAlignment="1">
      <alignment horizontal="left" vertical="center"/>
    </xf>
    <xf numFmtId="0" fontId="24" fillId="3" borderId="1" xfId="0" applyFont="1" applyFill="1" applyBorder="1" applyAlignment="1">
      <alignment horizontal="left" vertical="top"/>
    </xf>
    <xf numFmtId="0" fontId="24" fillId="0" borderId="1" xfId="0" applyFont="1" applyBorder="1" applyAlignment="1">
      <alignment horizontal="left" vertical="top"/>
    </xf>
    <xf numFmtId="0" fontId="27" fillId="0" borderId="1" xfId="0" applyFont="1" applyBorder="1" applyAlignment="1">
      <alignment horizontal="left" vertical="center"/>
    </xf>
    <xf numFmtId="0" fontId="23" fillId="3" borderId="3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center" vertical="top"/>
    </xf>
    <xf numFmtId="0" fontId="21" fillId="15" borderId="0" xfId="0" applyFont="1" applyFill="1" applyAlignment="1" applyProtection="1">
      <alignment horizontal="left" vertical="top" wrapText="1"/>
      <protection locked="0"/>
    </xf>
    <xf numFmtId="0" fontId="23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/>
    </xf>
    <xf numFmtId="167" fontId="23" fillId="3" borderId="1" xfId="0" applyNumberFormat="1" applyFont="1" applyFill="1" applyBorder="1" applyAlignment="1">
      <alignment horizontal="center"/>
    </xf>
    <xf numFmtId="0" fontId="20" fillId="0" borderId="1" xfId="0" applyFont="1" applyBorder="1" applyAlignment="1">
      <alignment horizontal="right" vertical="center"/>
    </xf>
    <xf numFmtId="0" fontId="24" fillId="3" borderId="3" xfId="0" applyFont="1" applyFill="1" applyBorder="1" applyAlignment="1">
      <alignment horizontal="right" vertical="center"/>
    </xf>
    <xf numFmtId="0" fontId="24" fillId="3" borderId="8" xfId="0" applyFont="1" applyFill="1" applyBorder="1" applyAlignment="1">
      <alignment horizontal="right" vertical="center"/>
    </xf>
    <xf numFmtId="0" fontId="24" fillId="3" borderId="4" xfId="0" applyFont="1" applyFill="1" applyBorder="1" applyAlignment="1">
      <alignment horizontal="right" vertical="center"/>
    </xf>
    <xf numFmtId="0" fontId="21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left" vertical="top"/>
    </xf>
    <xf numFmtId="0" fontId="21" fillId="3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5" fillId="3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9" fontId="26" fillId="3" borderId="1" xfId="0" applyNumberFormat="1" applyFont="1" applyFill="1" applyBorder="1" applyAlignment="1">
      <alignment horizontal="center" vertical="top"/>
    </xf>
    <xf numFmtId="0" fontId="26" fillId="3" borderId="1" xfId="0" applyFont="1" applyFill="1" applyBorder="1" applyAlignment="1">
      <alignment horizontal="center" vertical="top"/>
    </xf>
    <xf numFmtId="0" fontId="24" fillId="0" borderId="1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left"/>
    </xf>
    <xf numFmtId="0" fontId="23" fillId="0" borderId="8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23" fillId="0" borderId="1" xfId="0" applyFont="1" applyBorder="1" applyAlignment="1">
      <alignment horizontal="right"/>
    </xf>
    <xf numFmtId="0" fontId="23" fillId="0" borderId="2" xfId="0" applyFont="1" applyBorder="1" applyAlignment="1">
      <alignment horizontal="center" vertical="top"/>
    </xf>
    <xf numFmtId="0" fontId="23" fillId="0" borderId="5" xfId="0" applyFont="1" applyBorder="1" applyAlignment="1">
      <alignment horizontal="center" vertical="top"/>
    </xf>
    <xf numFmtId="0" fontId="23" fillId="0" borderId="7" xfId="0" applyFont="1" applyBorder="1" applyAlignment="1">
      <alignment horizontal="center" vertical="top"/>
    </xf>
    <xf numFmtId="0" fontId="23" fillId="0" borderId="3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171" fontId="23" fillId="0" borderId="3" xfId="0" applyNumberFormat="1" applyFont="1" applyBorder="1" applyAlignment="1">
      <alignment horizontal="center"/>
    </xf>
    <xf numFmtId="171" fontId="23" fillId="0" borderId="4" xfId="0" applyNumberFormat="1" applyFont="1" applyBorder="1" applyAlignment="1">
      <alignment horizontal="center"/>
    </xf>
    <xf numFmtId="167" fontId="23" fillId="5" borderId="3" xfId="0" applyNumberFormat="1" applyFont="1" applyFill="1" applyBorder="1" applyAlignment="1" applyProtection="1">
      <alignment horizontal="center" vertical="center"/>
      <protection locked="0"/>
    </xf>
    <xf numFmtId="167" fontId="23" fillId="5" borderId="4" xfId="0" applyNumberFormat="1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>
      <alignment horizontal="left" wrapText="1"/>
    </xf>
    <xf numFmtId="0" fontId="24" fillId="0" borderId="3" xfId="0" applyFont="1" applyBorder="1" applyAlignment="1">
      <alignment horizontal="left" vertical="top"/>
    </xf>
    <xf numFmtId="0" fontId="24" fillId="0" borderId="8" xfId="0" applyFont="1" applyBorder="1" applyAlignment="1">
      <alignment horizontal="left" vertical="top"/>
    </xf>
    <xf numFmtId="0" fontId="24" fillId="0" borderId="4" xfId="0" applyFont="1" applyBorder="1" applyAlignment="1">
      <alignment horizontal="left" vertical="top"/>
    </xf>
    <xf numFmtId="0" fontId="17" fillId="7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 vertical="top"/>
    </xf>
    <xf numFmtId="0" fontId="11" fillId="7" borderId="1" xfId="0" applyFont="1" applyFill="1" applyBorder="1" applyAlignment="1">
      <alignment horizontal="center" vertical="top" wrapText="1"/>
    </xf>
    <xf numFmtId="0" fontId="11" fillId="7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Monthly Salary'!I5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Form!C5"/><Relationship Id="rId1" Type="http://schemas.openxmlformats.org/officeDocument/2006/relationships/hyperlink" Target="#'IT statement'!K3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Monthly Salary'!Print_Area"/><Relationship Id="rId2" Type="http://schemas.openxmlformats.org/officeDocument/2006/relationships/image" Target="../media/image1.wmf"/><Relationship Id="rId1" Type="http://schemas.openxmlformats.org/officeDocument/2006/relationships/hyperlink" Target="#Form!C5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499316</xdr:colOff>
      <xdr:row>17</xdr:row>
      <xdr:rowOff>347350</xdr:rowOff>
    </xdr:from>
    <xdr:to>
      <xdr:col>16</xdr:col>
      <xdr:colOff>21709</xdr:colOff>
      <xdr:row>21</xdr:row>
      <xdr:rowOff>281460</xdr:rowOff>
    </xdr:to>
    <xdr:sp macro="" textlink="">
      <xdr:nvSpPr>
        <xdr:cNvPr id="2" name="Striped Right Arrow 1">
          <a:hlinkClick xmlns:r="http://schemas.openxmlformats.org/officeDocument/2006/relationships" r:id="rId1" tooltip="Statement of Annual Emoluments"/>
          <a:extLst>
            <a:ext uri="{FF2B5EF4-FFF2-40B4-BE49-F238E27FC236}">
              <a16:creationId xmlns:a16="http://schemas.microsoft.com/office/drawing/2014/main" id="{D1821ADC-418B-4A69-AD18-0F29B5F847B5}"/>
            </a:ext>
          </a:extLst>
        </xdr:cNvPr>
        <xdr:cNvSpPr/>
      </xdr:nvSpPr>
      <xdr:spPr>
        <a:xfrm>
          <a:off x="15858718" y="5796410"/>
          <a:ext cx="1812735" cy="1247529"/>
        </a:xfrm>
        <a:prstGeom prst="stripedRightArrow">
          <a:avLst>
            <a:gd name="adj1" fmla="val 73968"/>
            <a:gd name="adj2" fmla="val 93442"/>
          </a:avLst>
        </a:prstGeom>
        <a:solidFill>
          <a:srgbClr val="C00000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IN"/>
        </a:p>
      </xdr:txBody>
    </xdr:sp>
    <xdr:clientData/>
  </xdr:twoCellAnchor>
  <xdr:twoCellAnchor>
    <xdr:from>
      <xdr:col>10</xdr:col>
      <xdr:colOff>95249</xdr:colOff>
      <xdr:row>0</xdr:row>
      <xdr:rowOff>130970</xdr:rowOff>
    </xdr:from>
    <xdr:to>
      <xdr:col>14</xdr:col>
      <xdr:colOff>273844</xdr:colOff>
      <xdr:row>9</xdr:row>
      <xdr:rowOff>166687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79DFC26-A147-49E1-80EF-0311DCA0CFA2}"/>
            </a:ext>
          </a:extLst>
        </xdr:cNvPr>
        <xdr:cNvGrpSpPr/>
      </xdr:nvGrpSpPr>
      <xdr:grpSpPr>
        <a:xfrm>
          <a:off x="15573374" y="130970"/>
          <a:ext cx="3274220" cy="3345655"/>
          <a:chOff x="11691937" y="130970"/>
          <a:chExt cx="2714626" cy="2750342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E97CD2A-F5CF-43B0-B591-D01930E59AFF}"/>
              </a:ext>
            </a:extLst>
          </xdr:cNvPr>
          <xdr:cNvSpPr txBox="1"/>
        </xdr:nvSpPr>
        <xdr:spPr>
          <a:xfrm>
            <a:off x="11744463" y="130970"/>
            <a:ext cx="2662100" cy="690562"/>
          </a:xfrm>
          <a:prstGeom prst="rect">
            <a:avLst/>
          </a:prstGeom>
          <a:solidFill>
            <a:schemeClr val="accent6"/>
          </a:solidFill>
          <a:ln>
            <a:solidFill>
              <a:schemeClr val="accent6">
                <a:lumMod val="50000"/>
              </a:schemeClr>
            </a:solidFill>
          </a:ln>
          <a:effectLst>
            <a:glow rad="139700">
              <a:schemeClr val="accent2">
                <a:satMod val="175000"/>
                <a:alpha val="40000"/>
              </a:schemeClr>
            </a:glow>
          </a:effectLst>
          <a:scene3d>
            <a:camera prst="orthographicFront"/>
            <a:lightRig rig="threePt" dir="t"/>
          </a:scene3d>
          <a:sp3d>
            <a:bevelT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wrap="square" rtlCol="0" anchor="t">
            <a:sp3d extrusionH="57150">
              <a:bevelT w="38100" h="38100" prst="relaxedInset"/>
            </a:sp3d>
          </a:bodyPr>
          <a:lstStyle/>
          <a:p>
            <a:pPr algn="ctr"/>
            <a:r>
              <a:rPr lang="en-IN" sz="1200" b="1" cap="none" spc="0">
                <a:ln/>
                <a:pattFill prst="dkUpDiag">
                  <a:fgClr>
                    <a:schemeClr val="bg1">
                      <a:lumMod val="50000"/>
                    </a:schemeClr>
                  </a:fgClr>
                  <a:bgClr>
                    <a:schemeClr val="tx1">
                      <a:lumMod val="75000"/>
                      <a:lumOff val="25000"/>
                    </a:schemeClr>
                  </a:bgClr>
                </a:pattFill>
                <a:effectLst>
                  <a:outerShdw blurRad="38100" dist="19050" dir="2700000" algn="tl" rotWithShape="0">
                    <a:schemeClr val="dk1">
                      <a:lumMod val="50000"/>
                      <a:alpha val="40000"/>
                    </a:schemeClr>
                  </a:outerShdw>
                </a:effectLst>
              </a:rPr>
              <a:t>AFTER ENTERING ALL THE RELEVANT DATA</a:t>
            </a:r>
            <a:r>
              <a:rPr lang="en-IN" sz="1200" b="1" cap="none" spc="0" baseline="0">
                <a:ln/>
                <a:pattFill prst="dkUpDiag">
                  <a:fgClr>
                    <a:schemeClr val="bg1">
                      <a:lumMod val="50000"/>
                    </a:schemeClr>
                  </a:fgClr>
                  <a:bgClr>
                    <a:schemeClr val="tx1">
                      <a:lumMod val="75000"/>
                      <a:lumOff val="25000"/>
                    </a:schemeClr>
                  </a:bgClr>
                </a:pattFill>
                <a:effectLst>
                  <a:outerShdw blurRad="38100" dist="19050" dir="2700000" algn="tl" rotWithShape="0">
                    <a:schemeClr val="dk1">
                      <a:lumMod val="50000"/>
                      <a:alpha val="40000"/>
                    </a:schemeClr>
                  </a:outerShdw>
                </a:effectLst>
              </a:rPr>
              <a:t> HERE, </a:t>
            </a:r>
            <a:r>
              <a:rPr lang="en-IN" sz="1200" b="1" cap="none" spc="0">
                <a:ln/>
                <a:pattFill prst="dkUpDiag">
                  <a:fgClr>
                    <a:schemeClr val="bg1">
                      <a:lumMod val="50000"/>
                    </a:schemeClr>
                  </a:fgClr>
                  <a:bgClr>
                    <a:schemeClr val="tx1">
                      <a:lumMod val="75000"/>
                      <a:lumOff val="25000"/>
                    </a:schemeClr>
                  </a:bgClr>
                </a:pattFill>
                <a:effectLst>
                  <a:outerShdw blurRad="38100" dist="19050" dir="2700000" algn="tl" rotWithShape="0">
                    <a:schemeClr val="dk1">
                      <a:lumMod val="50000"/>
                      <a:alpha val="40000"/>
                    </a:schemeClr>
                  </a:outerShdw>
                </a:effectLst>
              </a:rPr>
              <a:t>ENTER DEDUCTIONS IN NEXT SHEET</a:t>
            </a:r>
          </a:p>
        </xdr:txBody>
      </xdr:sp>
      <xdr:sp macro="" textlink="">
        <xdr:nvSpPr>
          <xdr:cNvPr id="4" name="&quot;Not Allowed&quot; Symbol 3">
            <a:extLst>
              <a:ext uri="{FF2B5EF4-FFF2-40B4-BE49-F238E27FC236}">
                <a16:creationId xmlns:a16="http://schemas.microsoft.com/office/drawing/2014/main" id="{450432AC-916B-4AA0-9689-B98977936F9B}"/>
              </a:ext>
            </a:extLst>
          </xdr:cNvPr>
          <xdr:cNvSpPr/>
        </xdr:nvSpPr>
        <xdr:spPr>
          <a:xfrm>
            <a:off x="12501562" y="1083468"/>
            <a:ext cx="1131093" cy="1023937"/>
          </a:xfrm>
          <a:prstGeom prst="noSmoking">
            <a:avLst/>
          </a:prstGeom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>
              <a:solidFill>
                <a:schemeClr val="tx1"/>
              </a:solidFill>
            </a:endParaRP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40177DBD-E111-4278-8468-E007C959DDF7}"/>
              </a:ext>
            </a:extLst>
          </xdr:cNvPr>
          <xdr:cNvSpPr/>
        </xdr:nvSpPr>
        <xdr:spPr>
          <a:xfrm>
            <a:off x="11691937" y="2214563"/>
            <a:ext cx="2643188" cy="666749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n-IN" sz="1800"/>
              <a:t>PRINT OUT OF THIS PAGE CANNOT BE  DONE</a:t>
            </a:r>
          </a:p>
        </xdr:txBody>
      </xdr:sp>
    </xdr:grpSp>
    <xdr:clientData/>
  </xdr:twoCellAnchor>
  <xdr:oneCellAnchor>
    <xdr:from>
      <xdr:col>13</xdr:col>
      <xdr:colOff>636875</xdr:colOff>
      <xdr:row>21</xdr:row>
      <xdr:rowOff>357526</xdr:rowOff>
    </xdr:from>
    <xdr:ext cx="2238375" cy="571500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8F32ADE1-AA9C-445D-A6FE-B5B34BFBB3BD}"/>
            </a:ext>
          </a:extLst>
        </xdr:cNvPr>
        <xdr:cNvSpPr/>
      </xdr:nvSpPr>
      <xdr:spPr>
        <a:xfrm>
          <a:off x="18258125" y="8810964"/>
          <a:ext cx="2238375" cy="5715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36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NEXT SHEET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416719</xdr:colOff>
      <xdr:row>17</xdr:row>
      <xdr:rowOff>130968</xdr:rowOff>
    </xdr:from>
    <xdr:to>
      <xdr:col>24</xdr:col>
      <xdr:colOff>357188</xdr:colOff>
      <xdr:row>22</xdr:row>
      <xdr:rowOff>238124</xdr:rowOff>
    </xdr:to>
    <xdr:sp macro="" textlink="">
      <xdr:nvSpPr>
        <xdr:cNvPr id="4" name="Arrow: Right 3">
          <a:hlinkClick xmlns:r="http://schemas.openxmlformats.org/officeDocument/2006/relationships" r:id="rId1" tooltip="Computation of Tax sheet"/>
          <a:extLst>
            <a:ext uri="{FF2B5EF4-FFF2-40B4-BE49-F238E27FC236}">
              <a16:creationId xmlns:a16="http://schemas.microsoft.com/office/drawing/2014/main" id="{FD5C6E9A-A350-4EDD-9E97-7B0CE9ABE841}"/>
            </a:ext>
          </a:extLst>
        </xdr:cNvPr>
        <xdr:cNvSpPr/>
      </xdr:nvSpPr>
      <xdr:spPr>
        <a:xfrm>
          <a:off x="10977563" y="4583906"/>
          <a:ext cx="547688" cy="1238249"/>
        </a:xfrm>
        <a:prstGeom prst="rightArrow">
          <a:avLst>
            <a:gd name="adj1" fmla="val 67308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IN"/>
        </a:p>
      </xdr:txBody>
    </xdr:sp>
    <xdr:clientData/>
  </xdr:twoCellAnchor>
  <xdr:twoCellAnchor>
    <xdr:from>
      <xdr:col>22</xdr:col>
      <xdr:colOff>309563</xdr:colOff>
      <xdr:row>17</xdr:row>
      <xdr:rowOff>119060</xdr:rowOff>
    </xdr:from>
    <xdr:to>
      <xdr:col>23</xdr:col>
      <xdr:colOff>250031</xdr:colOff>
      <xdr:row>22</xdr:row>
      <xdr:rowOff>226216</xdr:rowOff>
    </xdr:to>
    <xdr:sp macro="" textlink="">
      <xdr:nvSpPr>
        <xdr:cNvPr id="5" name="Arrow: Right 4">
          <a:hlinkClick xmlns:r="http://schemas.openxmlformats.org/officeDocument/2006/relationships" r:id="rId2" tooltip="HOME"/>
          <a:extLst>
            <a:ext uri="{FF2B5EF4-FFF2-40B4-BE49-F238E27FC236}">
              <a16:creationId xmlns:a16="http://schemas.microsoft.com/office/drawing/2014/main" id="{1A993B4D-EA7C-46B3-8671-00EC47272862}"/>
            </a:ext>
          </a:extLst>
        </xdr:cNvPr>
        <xdr:cNvSpPr/>
      </xdr:nvSpPr>
      <xdr:spPr>
        <a:xfrm rot="10800000">
          <a:off x="10263188" y="4571998"/>
          <a:ext cx="547687" cy="1238249"/>
        </a:xfrm>
        <a:prstGeom prst="rightArrow">
          <a:avLst>
            <a:gd name="adj1" fmla="val 63462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IN"/>
        </a:p>
      </xdr:txBody>
    </xdr:sp>
    <xdr:clientData/>
  </xdr:twoCellAnchor>
  <xdr:twoCellAnchor>
    <xdr:from>
      <xdr:col>22</xdr:col>
      <xdr:colOff>142874</xdr:colOff>
      <xdr:row>8</xdr:row>
      <xdr:rowOff>107158</xdr:rowOff>
    </xdr:from>
    <xdr:to>
      <xdr:col>27</xdr:col>
      <xdr:colOff>321467</xdr:colOff>
      <xdr:row>11</xdr:row>
      <xdr:rowOff>59532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9E89909-B9A9-46E9-A9E2-57BB63E0CD72}"/>
            </a:ext>
          </a:extLst>
        </xdr:cNvPr>
        <xdr:cNvSpPr txBox="1"/>
      </xdr:nvSpPr>
      <xdr:spPr>
        <a:xfrm>
          <a:off x="10096499" y="2309814"/>
          <a:ext cx="3214687" cy="702468"/>
        </a:xfrm>
        <a:prstGeom prst="rect">
          <a:avLst/>
        </a:prstGeom>
        <a:ln/>
        <a:effectLst>
          <a:glow rad="139700">
            <a:schemeClr val="accent2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IN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AFTER ENTERING RELEVANT DATA</a:t>
          </a:r>
          <a:r>
            <a:rPr lang="en-IN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HERE, GO TO</a:t>
          </a:r>
          <a:r>
            <a:rPr lang="en-IN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NEXT SHEET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410961</xdr:colOff>
      <xdr:row>107</xdr:row>
      <xdr:rowOff>162730</xdr:rowOff>
    </xdr:from>
    <xdr:to>
      <xdr:col>15</xdr:col>
      <xdr:colOff>27679</xdr:colOff>
      <xdr:row>111</xdr:row>
      <xdr:rowOff>128597</xdr:rowOff>
    </xdr:to>
    <xdr:pic>
      <xdr:nvPicPr>
        <xdr:cNvPr id="4395" name="Picture 1">
          <a:hlinkClick xmlns:r="http://schemas.openxmlformats.org/officeDocument/2006/relationships" r:id="rId1" tooltip="HOME"/>
          <a:extLst>
            <a:ext uri="{FF2B5EF4-FFF2-40B4-BE49-F238E27FC236}">
              <a16:creationId xmlns:a16="http://schemas.microsoft.com/office/drawing/2014/main" id="{1EC2555C-CDCC-4CFB-82BA-15CDC20B2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2299" y="27369350"/>
          <a:ext cx="1011930" cy="913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272737</xdr:colOff>
      <xdr:row>108</xdr:row>
      <xdr:rowOff>122664</xdr:rowOff>
    </xdr:from>
    <xdr:to>
      <xdr:col>13</xdr:col>
      <xdr:colOff>129861</xdr:colOff>
      <xdr:row>111</xdr:row>
      <xdr:rowOff>169708</xdr:rowOff>
    </xdr:to>
    <xdr:sp macro="" textlink="">
      <xdr:nvSpPr>
        <xdr:cNvPr id="2" name="Arrow: Left 1">
          <a:hlinkClick xmlns:r="http://schemas.openxmlformats.org/officeDocument/2006/relationships" r:id="rId3" tooltip="Statement of Annual Emoluments"/>
          <a:extLst>
            <a:ext uri="{FF2B5EF4-FFF2-40B4-BE49-F238E27FC236}">
              <a16:creationId xmlns:a16="http://schemas.microsoft.com/office/drawing/2014/main" id="{DBD6B0C9-14BB-4FF4-BA2D-3B3790DD7E8E}"/>
            </a:ext>
          </a:extLst>
        </xdr:cNvPr>
        <xdr:cNvSpPr/>
      </xdr:nvSpPr>
      <xdr:spPr>
        <a:xfrm>
          <a:off x="9046469" y="27517101"/>
          <a:ext cx="554730" cy="807255"/>
        </a:xfrm>
        <a:prstGeom prst="leftArrow">
          <a:avLst>
            <a:gd name="adj1" fmla="val 73810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60"/>
  <sheetViews>
    <sheetView showGridLines="0" tabSelected="1" zoomScale="40" zoomScaleNormal="40" workbookViewId="0">
      <selection activeCell="C5" sqref="C5"/>
    </sheetView>
  </sheetViews>
  <sheetFormatPr defaultColWidth="0" defaultRowHeight="15" zeroHeight="1" x14ac:dyDescent="0.25"/>
  <cols>
    <col min="1" max="1" width="3.85546875" customWidth="1"/>
    <col min="2" max="2" width="81.85546875" customWidth="1"/>
    <col min="3" max="3" width="63.7109375" customWidth="1"/>
    <col min="4" max="4" width="3.42578125" customWidth="1"/>
    <col min="5" max="5" width="21.28515625" customWidth="1"/>
    <col min="6" max="6" width="10.42578125" customWidth="1"/>
    <col min="7" max="7" width="10.7109375" customWidth="1"/>
    <col min="8" max="8" width="15.7109375" customWidth="1"/>
    <col min="9" max="9" width="8.85546875" customWidth="1"/>
    <col min="10" max="10" width="12" style="7" customWidth="1"/>
    <col min="11" max="11" width="6.140625" customWidth="1"/>
    <col min="12" max="12" width="6.42578125" customWidth="1"/>
    <col min="13" max="13" width="19.7109375" customWidth="1"/>
    <col min="14" max="14" width="14.28515625" customWidth="1"/>
    <col min="15" max="15" width="16.7109375" customWidth="1"/>
    <col min="16" max="16" width="19" customWidth="1"/>
    <col min="17" max="17" width="4.140625" customWidth="1"/>
    <col min="18" max="18" width="77" hidden="1" customWidth="1"/>
    <col min="19" max="16384" width="9.140625" hidden="1"/>
  </cols>
  <sheetData>
    <row r="1" spans="1:18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8" ht="35.25" customHeight="1" x14ac:dyDescent="0.25">
      <c r="A2" s="67"/>
      <c r="B2" s="63" t="s">
        <v>78</v>
      </c>
      <c r="C2" s="152" t="s">
        <v>127</v>
      </c>
      <c r="D2" s="153"/>
      <c r="E2" s="153"/>
      <c r="F2" s="153"/>
      <c r="G2" s="153"/>
      <c r="H2" s="153"/>
      <c r="I2" s="153"/>
      <c r="J2" s="154"/>
      <c r="K2" s="67"/>
      <c r="L2" s="69"/>
      <c r="M2" s="69"/>
      <c r="N2" s="69"/>
      <c r="O2" s="67"/>
      <c r="P2" s="67"/>
      <c r="Q2" s="67"/>
    </row>
    <row r="3" spans="1:18" ht="20.25" customHeight="1" x14ac:dyDescent="0.45">
      <c r="A3" s="67"/>
      <c r="B3" s="63" t="s">
        <v>141</v>
      </c>
      <c r="C3" s="61" t="s">
        <v>144</v>
      </c>
      <c r="D3" s="66" t="s">
        <v>142</v>
      </c>
      <c r="E3" s="62" t="s">
        <v>150</v>
      </c>
      <c r="F3" s="67"/>
      <c r="G3" s="67"/>
      <c r="H3" s="67"/>
      <c r="I3" s="67"/>
      <c r="J3" s="67"/>
      <c r="K3" s="67"/>
      <c r="L3" s="69"/>
      <c r="M3" s="69"/>
      <c r="N3" s="69"/>
      <c r="O3" s="67"/>
      <c r="P3" s="67"/>
      <c r="Q3" s="67"/>
    </row>
    <row r="4" spans="1:18" ht="20.25" customHeight="1" x14ac:dyDescent="0.45">
      <c r="A4" s="67"/>
      <c r="B4" s="63" t="s">
        <v>143</v>
      </c>
      <c r="C4" s="61" t="s">
        <v>150</v>
      </c>
      <c r="D4" s="66" t="s">
        <v>142</v>
      </c>
      <c r="E4" s="62" t="s">
        <v>151</v>
      </c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8" ht="35.1" customHeight="1" x14ac:dyDescent="0.25">
      <c r="A5" s="67"/>
      <c r="B5" s="64" t="s">
        <v>24</v>
      </c>
      <c r="C5" s="45"/>
      <c r="D5" s="67"/>
      <c r="E5" s="158" t="s">
        <v>46</v>
      </c>
      <c r="F5" s="158"/>
      <c r="G5" s="158"/>
      <c r="H5" s="158"/>
      <c r="I5" s="158"/>
      <c r="J5" s="158"/>
      <c r="K5" s="67"/>
      <c r="L5" s="67"/>
      <c r="M5" s="67"/>
      <c r="N5" s="67"/>
      <c r="O5" s="67"/>
      <c r="P5" s="67"/>
      <c r="Q5" s="67"/>
      <c r="R5" s="43" t="s">
        <v>95</v>
      </c>
    </row>
    <row r="6" spans="1:18" ht="35.1" customHeight="1" x14ac:dyDescent="0.25">
      <c r="A6" s="67"/>
      <c r="B6" s="64" t="s">
        <v>25</v>
      </c>
      <c r="C6" s="46"/>
      <c r="D6" s="67"/>
      <c r="E6" s="289" t="s">
        <v>145</v>
      </c>
      <c r="F6" s="290" t="s">
        <v>41</v>
      </c>
      <c r="G6" s="290" t="s">
        <v>48</v>
      </c>
      <c r="H6" s="291" t="s">
        <v>49</v>
      </c>
      <c r="I6" s="291" t="s">
        <v>50</v>
      </c>
      <c r="J6" s="291" t="s">
        <v>51</v>
      </c>
      <c r="K6" s="67"/>
      <c r="L6" s="67"/>
      <c r="M6" s="67"/>
      <c r="N6" s="67"/>
      <c r="O6" s="67"/>
      <c r="P6" s="67"/>
      <c r="Q6" s="67"/>
      <c r="R6" s="43" t="s">
        <v>96</v>
      </c>
    </row>
    <row r="7" spans="1:18" ht="35.1" customHeight="1" x14ac:dyDescent="0.25">
      <c r="A7" s="67"/>
      <c r="B7" s="64" t="s">
        <v>26</v>
      </c>
      <c r="C7" s="45"/>
      <c r="D7" s="67"/>
      <c r="E7" s="10" t="str">
        <f>IF( (C18&gt;0),"Child-1", "")</f>
        <v/>
      </c>
      <c r="F7" s="56"/>
      <c r="G7" s="56"/>
      <c r="H7" s="56"/>
      <c r="I7" s="56"/>
      <c r="J7" s="70">
        <f>IF(AND(H7&lt;&gt;"", I7&lt;&gt;""), IF(F7="Hosteller", (H7-(3600*I7%*G7)), (H7-(1200*I7%*G7))), 0)</f>
        <v>0</v>
      </c>
      <c r="K7" s="67"/>
      <c r="L7" s="67"/>
      <c r="M7" s="67"/>
      <c r="N7" s="67"/>
      <c r="O7" s="67"/>
      <c r="P7" s="67"/>
      <c r="Q7" s="67"/>
      <c r="R7" s="43" t="s">
        <v>79</v>
      </c>
    </row>
    <row r="8" spans="1:18" ht="35.1" customHeight="1" x14ac:dyDescent="0.25">
      <c r="A8" s="67"/>
      <c r="B8" s="64" t="s">
        <v>27</v>
      </c>
      <c r="C8" s="47"/>
      <c r="D8" s="67"/>
      <c r="E8" s="10" t="str">
        <f>IF( (C18&gt;1),"Child-2", "")</f>
        <v/>
      </c>
      <c r="F8" s="56"/>
      <c r="G8" s="56"/>
      <c r="H8" s="56"/>
      <c r="I8" s="56"/>
      <c r="J8" s="70">
        <f>IF(AND(H8&lt;&gt;"", I8&lt;&gt;""), IF(F8="Hosteller", (H8-(3600*I8%*G8)), (H8-(1200*I8%*G8))), 0)</f>
        <v>0</v>
      </c>
      <c r="K8" s="67"/>
      <c r="L8" s="67"/>
      <c r="M8" s="67"/>
      <c r="N8" s="67"/>
      <c r="O8" s="67"/>
      <c r="P8" s="67"/>
      <c r="Q8" s="67"/>
      <c r="R8" s="43" t="s">
        <v>97</v>
      </c>
    </row>
    <row r="9" spans="1:18" ht="35.1" customHeight="1" x14ac:dyDescent="0.25">
      <c r="A9" s="67"/>
      <c r="B9" s="64" t="s">
        <v>42</v>
      </c>
      <c r="C9" s="48"/>
      <c r="D9" s="67"/>
      <c r="E9" s="149" t="s">
        <v>31</v>
      </c>
      <c r="F9" s="150"/>
      <c r="G9" s="150"/>
      <c r="H9" s="150"/>
      <c r="I9" s="151"/>
      <c r="J9" s="71">
        <f>SUM(J7:J8)</f>
        <v>0</v>
      </c>
      <c r="K9" s="67"/>
      <c r="L9" s="67"/>
      <c r="M9" s="67"/>
      <c r="N9" s="67"/>
      <c r="O9" s="67"/>
      <c r="P9" s="67"/>
      <c r="Q9" s="67"/>
      <c r="R9" s="43" t="s">
        <v>80</v>
      </c>
    </row>
    <row r="10" spans="1:18" ht="35.1" customHeight="1" x14ac:dyDescent="0.25">
      <c r="A10" s="67"/>
      <c r="B10" s="64" t="s">
        <v>43</v>
      </c>
      <c r="C10" s="49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43" t="s">
        <v>81</v>
      </c>
    </row>
    <row r="11" spans="1:18" ht="35.1" customHeight="1" x14ac:dyDescent="0.25">
      <c r="A11" s="67"/>
      <c r="B11" s="64" t="s">
        <v>44</v>
      </c>
      <c r="C11" s="50"/>
      <c r="D11" s="67"/>
      <c r="E11" s="163" t="s">
        <v>52</v>
      </c>
      <c r="F11" s="164"/>
      <c r="G11" s="164"/>
      <c r="H11" s="165"/>
      <c r="I11" s="67"/>
      <c r="J11" s="159" t="s">
        <v>65</v>
      </c>
      <c r="K11" s="159"/>
      <c r="L11" s="159"/>
      <c r="M11" s="159"/>
      <c r="N11" s="159"/>
      <c r="O11" s="159"/>
      <c r="P11" s="159"/>
      <c r="Q11" s="67"/>
      <c r="R11" s="43" t="s">
        <v>82</v>
      </c>
    </row>
    <row r="12" spans="1:18" ht="35.1" customHeight="1" x14ac:dyDescent="0.25">
      <c r="A12" s="67"/>
      <c r="B12" s="64" t="s">
        <v>53</v>
      </c>
      <c r="C12" s="51"/>
      <c r="D12" s="67"/>
      <c r="E12" s="166" t="s">
        <v>146</v>
      </c>
      <c r="F12" s="167"/>
      <c r="G12" s="168"/>
      <c r="H12" s="9" t="s">
        <v>32</v>
      </c>
      <c r="I12" s="67"/>
      <c r="J12" s="166" t="s">
        <v>62</v>
      </c>
      <c r="K12" s="167"/>
      <c r="L12" s="168"/>
      <c r="M12" s="9" t="s">
        <v>60</v>
      </c>
      <c r="N12" s="9" t="s">
        <v>59</v>
      </c>
      <c r="O12" s="9" t="s">
        <v>66</v>
      </c>
      <c r="P12" s="9" t="s">
        <v>61</v>
      </c>
      <c r="Q12" s="67"/>
      <c r="R12" s="43" t="s">
        <v>83</v>
      </c>
    </row>
    <row r="13" spans="1:18" ht="35.1" customHeight="1" x14ac:dyDescent="0.25">
      <c r="A13" s="67"/>
      <c r="B13" s="63" t="s">
        <v>76</v>
      </c>
      <c r="C13" s="52"/>
      <c r="D13" s="67"/>
      <c r="E13" s="155" t="str">
        <f>IF( (C19&gt;0), "Child-1","")</f>
        <v/>
      </c>
      <c r="F13" s="156"/>
      <c r="G13" s="157"/>
      <c r="H13" s="74"/>
      <c r="I13" s="67"/>
      <c r="J13" s="160"/>
      <c r="K13" s="161"/>
      <c r="L13" s="162"/>
      <c r="M13" s="57"/>
      <c r="N13" s="57"/>
      <c r="O13" s="57"/>
      <c r="P13" s="72">
        <f>IF(M13&lt;&gt;"",N13*O13%, 0)</f>
        <v>0</v>
      </c>
      <c r="Q13" s="67"/>
      <c r="R13" s="43" t="s">
        <v>84</v>
      </c>
    </row>
    <row r="14" spans="1:18" ht="35.1" customHeight="1" x14ac:dyDescent="0.25">
      <c r="A14" s="67"/>
      <c r="B14" s="63" t="s">
        <v>140</v>
      </c>
      <c r="C14" s="53"/>
      <c r="D14" s="67"/>
      <c r="E14" s="155" t="str">
        <f>IF( (C19&gt;1),"Child-2","")</f>
        <v/>
      </c>
      <c r="F14" s="156"/>
      <c r="G14" s="157"/>
      <c r="H14" s="74"/>
      <c r="I14" s="67"/>
      <c r="J14" s="160"/>
      <c r="K14" s="161"/>
      <c r="L14" s="162"/>
      <c r="M14" s="57"/>
      <c r="N14" s="57"/>
      <c r="O14" s="57"/>
      <c r="P14" s="72">
        <f>IF(M14&lt;&gt;"",N14*O14%, 0)</f>
        <v>0</v>
      </c>
      <c r="Q14" s="67"/>
      <c r="R14" s="43" t="s">
        <v>85</v>
      </c>
    </row>
    <row r="15" spans="1:18" ht="35.1" customHeight="1" x14ac:dyDescent="0.25">
      <c r="A15" s="67"/>
      <c r="B15" s="63" t="s">
        <v>147</v>
      </c>
      <c r="C15" s="53"/>
      <c r="D15" s="67"/>
      <c r="E15" s="149" t="s">
        <v>63</v>
      </c>
      <c r="F15" s="150"/>
      <c r="G15" s="151"/>
      <c r="H15" s="10">
        <f>SUM(H13:H14)</f>
        <v>0</v>
      </c>
      <c r="I15" s="67"/>
      <c r="J15" s="160"/>
      <c r="K15" s="161"/>
      <c r="L15" s="162"/>
      <c r="M15" s="57"/>
      <c r="N15" s="57"/>
      <c r="O15" s="57"/>
      <c r="P15" s="72">
        <f t="shared" ref="P15" si="0">IF(M15&lt;&gt;"",N15*O15%, 0)</f>
        <v>0</v>
      </c>
      <c r="Q15" s="67"/>
      <c r="R15" s="43"/>
    </row>
    <row r="16" spans="1:18" ht="35.1" customHeight="1" x14ac:dyDescent="0.25">
      <c r="A16" s="67"/>
      <c r="B16" s="63" t="s">
        <v>148</v>
      </c>
      <c r="C16" s="53"/>
      <c r="D16" s="67"/>
      <c r="E16" s="80"/>
      <c r="F16" s="80"/>
      <c r="G16" s="80"/>
      <c r="H16" s="81"/>
      <c r="I16" s="67"/>
      <c r="J16" s="160"/>
      <c r="K16" s="161"/>
      <c r="L16" s="162"/>
      <c r="M16" s="57"/>
      <c r="N16" s="57"/>
      <c r="O16" s="57"/>
      <c r="P16" s="72">
        <f>IF(M16&lt;&gt;"",N16*O16%, 0)</f>
        <v>0</v>
      </c>
      <c r="Q16" s="67"/>
      <c r="R16" s="43"/>
    </row>
    <row r="17" spans="1:18" ht="35.1" customHeight="1" x14ac:dyDescent="0.25">
      <c r="A17" s="67"/>
      <c r="B17" s="63" t="s">
        <v>149</v>
      </c>
      <c r="C17" s="53"/>
      <c r="D17" s="67"/>
      <c r="E17" s="67"/>
      <c r="F17" s="67"/>
      <c r="G17" s="67"/>
      <c r="H17" s="67"/>
      <c r="I17" s="67"/>
      <c r="J17" s="169" t="s">
        <v>58</v>
      </c>
      <c r="K17" s="170"/>
      <c r="L17" s="171"/>
      <c r="M17" s="12"/>
      <c r="N17" s="12">
        <f>SUM(N13:N16)</f>
        <v>0</v>
      </c>
      <c r="O17" s="12"/>
      <c r="P17" s="73">
        <f>SUM(P13:P16)</f>
        <v>0</v>
      </c>
      <c r="Q17" s="67"/>
      <c r="R17" s="43"/>
    </row>
    <row r="18" spans="1:18" ht="35.1" customHeight="1" x14ac:dyDescent="0.25">
      <c r="A18" s="67"/>
      <c r="B18" s="65" t="s">
        <v>77</v>
      </c>
      <c r="C18" s="54"/>
      <c r="D18" s="67"/>
      <c r="E18" s="163" t="s">
        <v>54</v>
      </c>
      <c r="F18" s="164"/>
      <c r="G18" s="164"/>
      <c r="H18" s="165"/>
      <c r="I18" s="67"/>
      <c r="J18" s="67"/>
      <c r="K18" s="67"/>
      <c r="L18" s="67"/>
      <c r="M18" s="67"/>
      <c r="N18" s="67"/>
      <c r="O18" s="67"/>
      <c r="P18" s="67"/>
      <c r="Q18" s="67"/>
      <c r="R18" s="43" t="s">
        <v>86</v>
      </c>
    </row>
    <row r="19" spans="1:18" ht="35.1" customHeight="1" x14ac:dyDescent="0.25">
      <c r="A19" s="67"/>
      <c r="B19" s="65" t="s">
        <v>47</v>
      </c>
      <c r="C19" s="52"/>
      <c r="D19" s="67"/>
      <c r="E19" s="166" t="s">
        <v>55</v>
      </c>
      <c r="F19" s="167"/>
      <c r="G19" s="168"/>
      <c r="H19" s="9" t="s">
        <v>56</v>
      </c>
      <c r="I19" s="67"/>
      <c r="J19" s="163" t="s">
        <v>270</v>
      </c>
      <c r="K19" s="164"/>
      <c r="L19" s="164"/>
      <c r="M19" s="165"/>
      <c r="N19" s="67"/>
      <c r="O19" s="67"/>
      <c r="P19" s="67"/>
      <c r="Q19" s="67"/>
      <c r="R19" s="43" t="s">
        <v>87</v>
      </c>
    </row>
    <row r="20" spans="1:18" ht="35.1" customHeight="1" x14ac:dyDescent="0.25">
      <c r="A20" s="67"/>
      <c r="B20" s="288" t="s">
        <v>278</v>
      </c>
      <c r="C20" s="55"/>
      <c r="D20" s="67"/>
      <c r="E20" s="172" t="s">
        <v>57</v>
      </c>
      <c r="F20" s="173"/>
      <c r="G20" s="174"/>
      <c r="H20" s="75"/>
      <c r="I20" s="67"/>
      <c r="J20" s="166" t="s">
        <v>155</v>
      </c>
      <c r="K20" s="167"/>
      <c r="L20" s="168"/>
      <c r="M20" s="9" t="s">
        <v>58</v>
      </c>
      <c r="N20" s="67"/>
      <c r="O20" s="67"/>
      <c r="P20" s="67"/>
      <c r="Q20" s="67"/>
      <c r="R20" s="43" t="s">
        <v>98</v>
      </c>
    </row>
    <row r="21" spans="1:18" ht="35.1" customHeight="1" x14ac:dyDescent="0.25">
      <c r="A21" s="67"/>
      <c r="B21" s="76" t="s">
        <v>277</v>
      </c>
      <c r="C21" s="55"/>
      <c r="D21" s="67"/>
      <c r="E21" s="140"/>
      <c r="F21" s="141"/>
      <c r="G21" s="142"/>
      <c r="H21" s="75"/>
      <c r="I21" s="67"/>
      <c r="J21" s="137"/>
      <c r="K21" s="138"/>
      <c r="L21" s="139"/>
      <c r="M21" s="9"/>
      <c r="N21" s="67"/>
      <c r="O21" s="67"/>
      <c r="P21" s="67"/>
      <c r="Q21" s="67"/>
      <c r="R21" s="43"/>
    </row>
    <row r="22" spans="1:18" ht="35.1" customHeight="1" x14ac:dyDescent="0.25">
      <c r="A22" s="67"/>
      <c r="B22" s="65" t="s">
        <v>38</v>
      </c>
      <c r="C22" s="58">
        <f>EOMONTH((E3*365.25)-(1900*365.25),3)</f>
        <v>45382</v>
      </c>
      <c r="D22" s="67"/>
      <c r="E22" s="172" t="s">
        <v>67</v>
      </c>
      <c r="F22" s="173"/>
      <c r="G22" s="174"/>
      <c r="H22" s="75"/>
      <c r="I22" s="67"/>
      <c r="J22" s="172" t="s">
        <v>271</v>
      </c>
      <c r="K22" s="173"/>
      <c r="L22" s="174"/>
      <c r="M22" s="74"/>
      <c r="N22" s="67"/>
      <c r="O22" s="67"/>
      <c r="P22" s="67"/>
      <c r="Q22" s="67"/>
      <c r="R22" s="43" t="s">
        <v>99</v>
      </c>
    </row>
    <row r="23" spans="1:18" ht="35.1" customHeight="1" x14ac:dyDescent="0.25">
      <c r="A23" s="67"/>
      <c r="B23" s="65" t="s">
        <v>29</v>
      </c>
      <c r="C23" s="79">
        <f>IF(C20="", 0, (C22-C20)/365.25)</f>
        <v>0</v>
      </c>
      <c r="D23" s="67"/>
      <c r="E23" s="149" t="s">
        <v>58</v>
      </c>
      <c r="F23" s="150"/>
      <c r="G23" s="151"/>
      <c r="H23" s="11">
        <f>SUM(H20:H22)</f>
        <v>0</v>
      </c>
      <c r="I23" s="67"/>
      <c r="J23" s="149" t="s">
        <v>272</v>
      </c>
      <c r="K23" s="150"/>
      <c r="L23" s="151"/>
      <c r="M23" s="85">
        <f>M22</f>
        <v>0</v>
      </c>
      <c r="N23" s="67"/>
      <c r="O23" s="67"/>
      <c r="P23" s="67"/>
      <c r="Q23" s="67"/>
      <c r="R23" s="43" t="s">
        <v>100</v>
      </c>
    </row>
    <row r="24" spans="1:18" ht="35.1" customHeight="1" x14ac:dyDescent="0.25">
      <c r="A24" s="67"/>
      <c r="B24" s="65" t="s">
        <v>30</v>
      </c>
      <c r="C24" s="59" t="str">
        <f>IF(C23&gt;=60,"YES","NO")</f>
        <v>NO</v>
      </c>
      <c r="D24" s="67"/>
      <c r="E24" s="67"/>
      <c r="F24" s="67"/>
      <c r="G24" s="67"/>
      <c r="H24" s="67"/>
      <c r="I24" s="67"/>
      <c r="J24" s="68"/>
      <c r="K24" s="67"/>
      <c r="L24" s="67"/>
      <c r="M24" s="67"/>
      <c r="N24" s="67"/>
      <c r="O24" s="67"/>
      <c r="P24" s="67"/>
      <c r="Q24" s="67"/>
      <c r="R24" s="43" t="s">
        <v>101</v>
      </c>
    </row>
    <row r="25" spans="1:18" ht="9.75" customHeight="1" x14ac:dyDescent="0.25">
      <c r="A25" s="67"/>
      <c r="B25" s="67"/>
      <c r="C25" s="77"/>
      <c r="D25" s="67"/>
      <c r="E25" s="67"/>
      <c r="F25" s="67"/>
      <c r="G25" s="67"/>
      <c r="H25" s="67"/>
      <c r="I25" s="67"/>
      <c r="J25" s="68"/>
      <c r="K25" s="67"/>
      <c r="L25" s="67"/>
      <c r="M25" s="67"/>
      <c r="N25" s="67"/>
      <c r="O25" s="67"/>
      <c r="P25" s="67"/>
      <c r="Q25" s="67"/>
      <c r="R25" s="43" t="s">
        <v>102</v>
      </c>
    </row>
    <row r="26" spans="1:18" hidden="1" x14ac:dyDescent="0.25">
      <c r="A26" s="67"/>
      <c r="B26" s="67"/>
      <c r="C26" s="67"/>
      <c r="D26" s="67"/>
      <c r="E26" s="67"/>
      <c r="F26" s="67"/>
      <c r="G26" s="67"/>
      <c r="H26" s="67"/>
      <c r="I26" s="67"/>
      <c r="N26" s="67"/>
      <c r="O26" s="67"/>
      <c r="P26" s="67"/>
      <c r="Q26" s="67"/>
      <c r="R26" s="43" t="s">
        <v>103</v>
      </c>
    </row>
    <row r="27" spans="1:18" hidden="1" x14ac:dyDescent="0.25">
      <c r="R27" s="43" t="s">
        <v>104</v>
      </c>
    </row>
    <row r="28" spans="1:18" hidden="1" x14ac:dyDescent="0.25">
      <c r="R28" s="43" t="s">
        <v>105</v>
      </c>
    </row>
    <row r="29" spans="1:18" ht="37.5" hidden="1" customHeight="1" x14ac:dyDescent="0.25">
      <c r="B29" s="60"/>
      <c r="R29" s="43" t="s">
        <v>106</v>
      </c>
    </row>
    <row r="30" spans="1:18" hidden="1" x14ac:dyDescent="0.25">
      <c r="R30" s="43" t="s">
        <v>107</v>
      </c>
    </row>
    <row r="31" spans="1:18" hidden="1" x14ac:dyDescent="0.25">
      <c r="R31" s="43" t="s">
        <v>108</v>
      </c>
    </row>
    <row r="32" spans="1:18" hidden="1" x14ac:dyDescent="0.25">
      <c r="R32" s="43" t="s">
        <v>109</v>
      </c>
    </row>
    <row r="33" spans="18:18" hidden="1" x14ac:dyDescent="0.25">
      <c r="R33" s="43" t="s">
        <v>110</v>
      </c>
    </row>
    <row r="34" spans="18:18" hidden="1" x14ac:dyDescent="0.25">
      <c r="R34" s="43" t="s">
        <v>111</v>
      </c>
    </row>
    <row r="35" spans="18:18" hidden="1" x14ac:dyDescent="0.25">
      <c r="R35" s="43" t="s">
        <v>112</v>
      </c>
    </row>
    <row r="36" spans="18:18" hidden="1" x14ac:dyDescent="0.25">
      <c r="R36" s="43" t="s">
        <v>113</v>
      </c>
    </row>
    <row r="37" spans="18:18" hidden="1" x14ac:dyDescent="0.25">
      <c r="R37" s="43" t="s">
        <v>114</v>
      </c>
    </row>
    <row r="38" spans="18:18" hidden="1" x14ac:dyDescent="0.25">
      <c r="R38" s="43" t="s">
        <v>115</v>
      </c>
    </row>
    <row r="39" spans="18:18" hidden="1" x14ac:dyDescent="0.25">
      <c r="R39" s="43" t="s">
        <v>116</v>
      </c>
    </row>
    <row r="40" spans="18:18" hidden="1" x14ac:dyDescent="0.25">
      <c r="R40" s="43" t="s">
        <v>117</v>
      </c>
    </row>
    <row r="41" spans="18:18" hidden="1" x14ac:dyDescent="0.25">
      <c r="R41" s="43" t="s">
        <v>118</v>
      </c>
    </row>
    <row r="42" spans="18:18" hidden="1" x14ac:dyDescent="0.25">
      <c r="R42" s="43" t="s">
        <v>119</v>
      </c>
    </row>
    <row r="43" spans="18:18" hidden="1" x14ac:dyDescent="0.25">
      <c r="R43" s="43" t="s">
        <v>88</v>
      </c>
    </row>
    <row r="44" spans="18:18" hidden="1" x14ac:dyDescent="0.25">
      <c r="R44" s="43" t="s">
        <v>89</v>
      </c>
    </row>
    <row r="45" spans="18:18" hidden="1" x14ac:dyDescent="0.25">
      <c r="R45" s="43" t="s">
        <v>90</v>
      </c>
    </row>
    <row r="46" spans="18:18" hidden="1" x14ac:dyDescent="0.25">
      <c r="R46" s="43" t="s">
        <v>91</v>
      </c>
    </row>
    <row r="47" spans="18:18" hidden="1" x14ac:dyDescent="0.25">
      <c r="R47" s="43" t="s">
        <v>120</v>
      </c>
    </row>
    <row r="48" spans="18:18" hidden="1" x14ac:dyDescent="0.25">
      <c r="R48" s="43" t="s">
        <v>92</v>
      </c>
    </row>
    <row r="49" spans="18:18" hidden="1" x14ac:dyDescent="0.25">
      <c r="R49" s="43" t="s">
        <v>93</v>
      </c>
    </row>
    <row r="50" spans="18:18" hidden="1" x14ac:dyDescent="0.25">
      <c r="R50" s="43" t="s">
        <v>121</v>
      </c>
    </row>
    <row r="51" spans="18:18" hidden="1" x14ac:dyDescent="0.25">
      <c r="R51" s="43" t="s">
        <v>122</v>
      </c>
    </row>
    <row r="52" spans="18:18" hidden="1" x14ac:dyDescent="0.25">
      <c r="R52" s="43" t="s">
        <v>123</v>
      </c>
    </row>
    <row r="53" spans="18:18" hidden="1" x14ac:dyDescent="0.25">
      <c r="R53" s="43" t="s">
        <v>124</v>
      </c>
    </row>
    <row r="54" spans="18:18" hidden="1" x14ac:dyDescent="0.25">
      <c r="R54" s="43" t="s">
        <v>125</v>
      </c>
    </row>
    <row r="55" spans="18:18" hidden="1" x14ac:dyDescent="0.25">
      <c r="R55" s="43" t="s">
        <v>126</v>
      </c>
    </row>
    <row r="56" spans="18:18" hidden="1" x14ac:dyDescent="0.25">
      <c r="R56" s="43" t="s">
        <v>127</v>
      </c>
    </row>
    <row r="57" spans="18:18" hidden="1" x14ac:dyDescent="0.25">
      <c r="R57" s="43" t="s">
        <v>128</v>
      </c>
    </row>
    <row r="58" spans="18:18" hidden="1" x14ac:dyDescent="0.25">
      <c r="R58" s="43" t="s">
        <v>129</v>
      </c>
    </row>
    <row r="59" spans="18:18" hidden="1" x14ac:dyDescent="0.25">
      <c r="R59" s="43" t="s">
        <v>130</v>
      </c>
    </row>
    <row r="60" spans="18:18" hidden="1" x14ac:dyDescent="0.25">
      <c r="R60" s="43" t="s">
        <v>94</v>
      </c>
    </row>
  </sheetData>
  <sheetProtection algorithmName="SHA-512" hashValue="Fg7mqnRZtAwPFtJgkPux7m/Tp4YMJ8ckw7U6asC9LKIUJD+/BmXmZ7CXsybBxCmcgo81MyZxJyB32kVkvhJJUA==" saltValue="yeNhWQo4rfigT4ytG0IXKA==" spinCount="100000" sheet="1" selectLockedCells="1"/>
  <customSheetViews>
    <customSheetView guid="{FB1B2773-2708-4BC7-98F1-55C7E60B40D3}" printArea="1" topLeftCell="A7">
      <selection activeCell="B1" sqref="B1:G25"/>
      <pageMargins left="0.7" right="0.7" top="0.75" bottom="0.75" header="0.3" footer="0.3"/>
      <pageSetup orientation="portrait" horizontalDpi="0" verticalDpi="0" r:id="rId1"/>
    </customSheetView>
  </customSheetViews>
  <mergeCells count="24">
    <mergeCell ref="J17:L17"/>
    <mergeCell ref="E19:G19"/>
    <mergeCell ref="E20:G20"/>
    <mergeCell ref="E22:G22"/>
    <mergeCell ref="E18:H18"/>
    <mergeCell ref="J19:M19"/>
    <mergeCell ref="J20:L20"/>
    <mergeCell ref="J22:L22"/>
    <mergeCell ref="J23:L23"/>
    <mergeCell ref="C2:J2"/>
    <mergeCell ref="E13:G13"/>
    <mergeCell ref="E14:G14"/>
    <mergeCell ref="E15:G15"/>
    <mergeCell ref="E5:J5"/>
    <mergeCell ref="E9:I9"/>
    <mergeCell ref="J11:P11"/>
    <mergeCell ref="J14:L14"/>
    <mergeCell ref="E11:H11"/>
    <mergeCell ref="E12:G12"/>
    <mergeCell ref="J15:L15"/>
    <mergeCell ref="J13:L13"/>
    <mergeCell ref="J12:L12"/>
    <mergeCell ref="J16:L16"/>
    <mergeCell ref="E23:G23"/>
  </mergeCells>
  <dataValidations xWindow="369" yWindow="358" count="32">
    <dataValidation type="list" showInputMessage="1" showErrorMessage="1" prompt="Select 7th CPC Table Matrix No. from drop down menu" sqref="C13" xr:uid="{81701923-94B3-4A48-B13F-247901F9177A}">
      <formula1>"1,2,3,4,5,6,7,8,9,10,11,12,13,13A,14,15,16,17,18"</formula1>
    </dataValidation>
    <dataValidation allowBlank="1" showInputMessage="1" showErrorMessage="1" sqref="C22" xr:uid="{A2ACAF74-87A3-47E9-BD44-9A0E9276479E}"/>
    <dataValidation type="list" showInputMessage="1" showErrorMessage="1" promptTitle="Gender" prompt="Select from drop down menu" sqref="C6" xr:uid="{9D0C23C0-2AFC-4371-AF5F-177317339E95}">
      <formula1>"Male, Female"</formula1>
    </dataValidation>
    <dataValidation type="textLength" allowBlank="1" showInputMessage="1" showErrorMessage="1" promptTitle="Name" prompt="Enter your Name" sqref="C5" xr:uid="{783A83FC-0F1A-4C44-885E-7C4E573CFD16}">
      <formula1>1</formula1>
      <formula2>60</formula2>
    </dataValidation>
    <dataValidation type="whole" allowBlank="1" showInputMessage="1" showErrorMessage="1" errorTitle="Number error" error="The maximum number of children for claiming tax savings is only 2" promptTitle="Number" prompt="Enter the number of Children 0 to 2 only" sqref="C18" xr:uid="{01242EFC-5FA5-4D29-8259-F54B3C66EEE8}">
      <formula1>0</formula1>
      <formula2>2</formula2>
    </dataValidation>
    <dataValidation type="date" operator="greaterThan" showInputMessage="1" showErrorMessage="1" error="Enter correct format of date as in the next line" promptTitle="Date format" prompt="Please enter date format (MM/DD/YYYY) or (DD/MM/YYYY)" sqref="C20" xr:uid="{EBB07356-03F4-4370-B782-3D74DE152E37}">
      <formula1>1</formula1>
    </dataValidation>
    <dataValidation type="textLength" operator="equal" showInputMessage="1" showErrorMessage="1" errorTitle="PAN No" error="PAN Number should be in the form ABCDE0000F" promptTitle="PAN No." prompt="Enter correct PAN (Format: ABCDE0000F)" sqref="C8" xr:uid="{2A734F9A-6560-4EB9-8227-52829C5A0272}">
      <formula1>10</formula1>
    </dataValidation>
    <dataValidation type="whole" allowBlank="1" showInputMessage="1" showErrorMessage="1" errorTitle="Cell No." error="Cell Number should be 10 digits" promptTitle="Cell No." prompt="Enter the Aadhar linked Cell No (Format: 9999999999)" sqref="C9" xr:uid="{6F96F557-0232-4CCB-A4E4-A6B02A2BC4E6}">
      <formula1>0</formula1>
      <formula2>9999999999</formula2>
    </dataValidation>
    <dataValidation operator="equal" showInputMessage="1" showErrorMessage="1" promptTitle="Email ID" prompt="Enter correct Email ID (Format: example@mail provider)" sqref="C10" xr:uid="{2640D8F9-C6F5-4B20-84E2-C076851FC5F6}"/>
    <dataValidation type="textLength" showInputMessage="1" showErrorMessage="1" errorTitle="SB No." error="SB Account No. should be between 5 and 11 digits" promptTitle="Savings Bank Account No." prompt="Enter Correct SB Account No. of 5 to 11 digits" sqref="C11" xr:uid="{0C025ED3-0D8A-4A80-AD4F-95E0867D2555}">
      <formula1>5</formula1>
      <formula2>11</formula2>
    </dataValidation>
    <dataValidation type="decimal" allowBlank="1" showInputMessage="1" showErrorMessage="1" errorTitle="Number error" error="The maximum number of children for claiming tax savings is only 2" promptTitle="Number" prompt="Enter the number of Children 0 to 2 only" sqref="C19" xr:uid="{C2E908D0-56D2-4066-8165-09E3D4693A3D}">
      <formula1>0</formula1>
      <formula2>2</formula2>
    </dataValidation>
    <dataValidation type="list" allowBlank="1" showInputMessage="1" showErrorMessage="1" prompt="Please select from the drop down list" sqref="F7:F8" xr:uid="{737653BD-0DAA-42A3-928A-126BFB2656DE}">
      <formula1>"Dayscholar, Hosteller"</formula1>
    </dataValidation>
    <dataValidation type="list" showInputMessage="1" showErrorMessage="1" errorTitle="Select category" error="Please select whether &quot;Hosteller&quot; or &quot;Dayscholar&quot;" promptTitle="Percentage of CEA received" prompt="Please select the percentage of Children Education Allowance paid by the Employer" sqref="I7:I8" xr:uid="{FE013277-F2C0-4AFC-BA6C-F97622EE8E4C}">
      <formula1>"25,50,75,100"</formula1>
    </dataValidation>
    <dataValidation type="textLength" operator="equal" allowBlank="1" showInputMessage="1" showErrorMessage="1" error="Only 12 digits. Type the Aadhar number continuously without space" prompt="Enter the 12 digit Aadhar number without any space" sqref="C12" xr:uid="{5CDC29ED-9F3E-446E-9A05-436002116826}">
      <formula1>12</formula1>
    </dataValidation>
    <dataValidation allowBlank="1" showInputMessage="1" showErrorMessage="1" promptTitle="Note" sqref="H20:H22" xr:uid="{D9042BDF-20CD-4021-BAE3-7304BB35C5D4}"/>
    <dataValidation operator="equal" showInputMessage="1" showErrorMessage="1" prompt="Enter 7th CPC basic pay during March" sqref="C14" xr:uid="{D8E591E0-5FD0-40C2-A56C-4A924DD414D6}"/>
    <dataValidation type="list" operator="equal" showInputMessage="1" showErrorMessage="1" promptTitle="Non Practicing Allowance" prompt="Select Yes or No from drop down menu" sqref="C15" xr:uid="{C4C38398-281F-47E8-BE10-0A087D078665}">
      <formula1>"No, Yes"</formula1>
    </dataValidation>
    <dataValidation type="list" operator="equal" showInputMessage="1" showErrorMessage="1" promptTitle="Increment month" prompt="Select your Increment month July or January? If not eligible, select NA" sqref="C17" xr:uid="{83614812-15CE-42C9-89BC-1251FBCB35B7}">
      <formula1>"July, January, NA"</formula1>
    </dataValidation>
    <dataValidation type="list" showInputMessage="1" showErrorMessage="1" prompt="Select from the list" sqref="C2:J2" xr:uid="{5332EAC2-EE73-4B18-A2D4-9D721305DA9A}">
      <formula1>$R$5:$R$61</formula1>
    </dataValidation>
    <dataValidation type="list" showInputMessage="1" showErrorMessage="1" prompt="Select from the list" sqref="C3:C4 E3:E4" xr:uid="{9C83F4CD-371E-41C7-A688-715C14497B1D}">
      <formula1>"2021,2022,2023,2024,2025"</formula1>
    </dataValidation>
    <dataValidation type="custom" showInputMessage="1" showErrorMessage="1" errorTitle="Donations" error="Kindly enter name of the Donee" promptTitle="Note" prompt="Government donations PAN  &quot;GGGGG0000G&quot;" sqref="M13" xr:uid="{BF34E4AF-32CB-4A55-8F02-B69D6BF4F182}">
      <formula1>J13&lt;&gt;""</formula1>
    </dataValidation>
    <dataValidation type="custom" showInputMessage="1" showErrorMessage="1" errorTitle="Select category" error="Enter No. of school going children and select whether &quot;Hosteller&quot; or &quot;Dayscholar&quot;   " sqref="H7" xr:uid="{302AA34B-7674-449F-9FE8-096C28663A24}">
      <formula1>AND(OR(C18&lt;&gt;0,C18&lt;&gt;""),F7&lt;&gt;"")</formula1>
    </dataValidation>
    <dataValidation type="custom" showInputMessage="1" showErrorMessage="1" errorTitle="Select category" error="Enter No. of school going children and select whether &quot;Hosteller&quot; or &quot;Dayscholar&quot;   " sqref="H8" xr:uid="{C26BD9C4-582B-4BBF-B4F6-C9D04E8E8CD5}">
      <formula1>AND(OR(C18&lt;&gt;0,C18&lt;&gt;""),F8&lt;&gt;"")</formula1>
    </dataValidation>
    <dataValidation type="custom" showInputMessage="1" showErrorMessage="1" errorTitle="Tuition fees " error="Kindly enter the number of School/ college going children" promptTitle="Note" prompt="Only tuition fees and not any other fees paid is eligible for deduction under section 80C" sqref="H13 M22" xr:uid="{55554BD8-95FB-4AB9-95F9-C47B00614FCB}">
      <formula1>AND(OR(C19&lt;&gt;0,C19&lt;&gt;""),E13&lt;&gt;"")</formula1>
    </dataValidation>
    <dataValidation type="custom" showInputMessage="1" showErrorMessage="1" errorTitle="Tuition fees " error="Kindly enter the number of School/ college going children" promptTitle="Note" prompt="Only tuition fees and not any other fees paid is eligible for deduction under section 80C" sqref="H14" xr:uid="{C3B00B86-3BCB-432A-9824-4B4E7CF459E0}">
      <formula1>AND(OR(C19&lt;&gt;0,C19&lt;&gt;""),E14&lt;&gt;"")</formula1>
    </dataValidation>
    <dataValidation type="list" allowBlank="1" showInputMessage="1" showErrorMessage="1" prompt="Government donations eligibility 100%" sqref="O13:O16" xr:uid="{FCFDFA67-BB4A-43A7-A09F-7C1CE9175419}">
      <formula1>"50, 100"</formula1>
    </dataValidation>
    <dataValidation type="custom" showInputMessage="1" showErrorMessage="1" errorTitle="Donations" error="Kindly enter name of the Donee" promptTitle="Note" prompt="PAN for Government donations is GGGGG0000G" sqref="M14:M16" xr:uid="{6FA9655A-381C-413C-BB1F-4571F3038C06}">
      <formula1>J14&lt;&gt;""</formula1>
    </dataValidation>
    <dataValidation type="custom" showInputMessage="1" showErrorMessage="1" errorTitle="PAN of Donee" error="Kindly enter the PAN of Donee" sqref="N13:N16" xr:uid="{89AF3C41-2C21-411C-ACF3-AD85C546E7C5}">
      <formula1>M13&lt;&gt;""</formula1>
    </dataValidation>
    <dataValidation allowBlank="1" showInputMessage="1" showErrorMessage="1" promptTitle="Designation" prompt="Enter Designation" sqref="C7" xr:uid="{66A7B527-8C78-40FB-9259-D22593B673B3}"/>
    <dataValidation type="list" operator="equal" showInputMessage="1" showErrorMessage="1" promptTitle="Annual Increment eligibility? " prompt="Select Yes or No from drop down menu" sqref="C16" xr:uid="{0B2AAB99-0ABD-46E1-A565-F3BC705E507A}">
      <formula1>"Yes, No"</formula1>
    </dataValidation>
    <dataValidation type="list" allowBlank="1" showInputMessage="1" showErrorMessage="1" prompt="Please select from the drop down list" sqref="G7:G8" xr:uid="{92459FB4-743C-45AD-BE17-7D0B9B59F372}">
      <formula1>"1, 2, 3, 4, 5"</formula1>
    </dataValidation>
    <dataValidation type="date" allowBlank="1" showInputMessage="1" showErrorMessage="1" error="Enter correct format of date as in the next line" promptTitle="Enter the date of retirement" prompt="Please enter the date of retirement in MM/DD/YYYY or DD/MM/YYYY format" sqref="C21" xr:uid="{1088F767-BED7-344F-95DD-1E11F5482EA9}">
      <formula1>45017</formula1>
      <formula2>73140</formula2>
    </dataValidation>
  </dataValidation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V26"/>
  <sheetViews>
    <sheetView showGridLines="0" zoomScale="70" zoomScaleNormal="70" workbookViewId="0">
      <selection activeCell="L5" sqref="L5"/>
    </sheetView>
  </sheetViews>
  <sheetFormatPr defaultColWidth="9.140625" defaultRowHeight="15" x14ac:dyDescent="0.25"/>
  <cols>
    <col min="1" max="1" width="2.85546875" customWidth="1"/>
    <col min="2" max="2" width="21" customWidth="1"/>
    <col min="3" max="3" width="15.85546875" hidden="1" customWidth="1"/>
    <col min="4" max="4" width="9.42578125" customWidth="1"/>
    <col min="5" max="5" width="8.140625" customWidth="1"/>
    <col min="6" max="6" width="9.140625" hidden="1" customWidth="1"/>
    <col min="7" max="7" width="8.140625" customWidth="1"/>
    <col min="8" max="8" width="6.7109375" customWidth="1"/>
    <col min="9" max="9" width="7.140625" customWidth="1"/>
    <col min="10" max="10" width="7.42578125" customWidth="1"/>
    <col min="11" max="11" width="9.7109375" customWidth="1"/>
    <col min="12" max="12" width="7.28515625" customWidth="1"/>
    <col min="13" max="13" width="7.42578125" customWidth="1"/>
    <col min="14" max="14" width="6.85546875" customWidth="1"/>
    <col min="15" max="15" width="8.28515625" customWidth="1"/>
    <col min="16" max="16" width="6.42578125" customWidth="1"/>
    <col min="17" max="17" width="7.42578125" customWidth="1"/>
    <col min="18" max="18" width="7.85546875" customWidth="1"/>
    <col min="19" max="19" width="8.42578125" customWidth="1"/>
    <col min="20" max="20" width="13.140625" customWidth="1"/>
    <col min="21" max="22" width="9.140625" hidden="1" customWidth="1"/>
  </cols>
  <sheetData>
    <row r="1" spans="2:22" ht="20.100000000000001" customHeight="1" x14ac:dyDescent="0.25">
      <c r="B1" s="182" t="s">
        <v>13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77" t="s">
        <v>39</v>
      </c>
    </row>
    <row r="2" spans="2:22" ht="20.100000000000001" customHeight="1" x14ac:dyDescent="0.25">
      <c r="B2" s="182" t="str">
        <f>CONCATENATE(Form!C5,", ",Form!C7," FOR THE FINANCIAL YEAR ", Form!C3, " - ", Form!E3, " &amp; ASSESMENT YEAR ",  Form!C4, " - ", Form!E4)</f>
        <v>,  FOR THE FINANCIAL YEAR 2023 - 2024 &amp; ASSESMENT YEAR 2024 - 2025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77"/>
    </row>
    <row r="3" spans="2:22" ht="20.100000000000001" customHeight="1" x14ac:dyDescent="0.25">
      <c r="B3" s="183" t="s">
        <v>37</v>
      </c>
      <c r="C3" s="183"/>
      <c r="D3" s="183"/>
      <c r="E3" s="183"/>
      <c r="F3" s="183"/>
      <c r="G3" s="183"/>
      <c r="H3" s="183"/>
      <c r="I3" s="183"/>
      <c r="J3" s="183"/>
      <c r="K3" s="183"/>
      <c r="L3" s="183" t="s">
        <v>74</v>
      </c>
      <c r="M3" s="183"/>
      <c r="N3" s="183"/>
      <c r="O3" s="183"/>
      <c r="P3" s="183"/>
      <c r="Q3" s="183"/>
      <c r="R3" s="183"/>
      <c r="S3" s="183"/>
      <c r="T3" s="177"/>
    </row>
    <row r="4" spans="2:22" ht="36" customHeight="1" x14ac:dyDescent="0.25">
      <c r="B4" s="32" t="s">
        <v>14</v>
      </c>
      <c r="C4" s="32"/>
      <c r="D4" s="33" t="s">
        <v>15</v>
      </c>
      <c r="E4" s="33" t="s">
        <v>139</v>
      </c>
      <c r="F4" s="33" t="s">
        <v>16</v>
      </c>
      <c r="G4" s="33" t="s">
        <v>17</v>
      </c>
      <c r="H4" s="33" t="s">
        <v>18</v>
      </c>
      <c r="I4" s="33" t="s">
        <v>19</v>
      </c>
      <c r="J4" s="33" t="s">
        <v>33</v>
      </c>
      <c r="K4" s="33" t="s">
        <v>20</v>
      </c>
      <c r="L4" s="33" t="s">
        <v>22</v>
      </c>
      <c r="M4" s="33" t="s">
        <v>69</v>
      </c>
      <c r="N4" s="33" t="s">
        <v>68</v>
      </c>
      <c r="O4" s="33" t="s">
        <v>23</v>
      </c>
      <c r="P4" s="33" t="s">
        <v>36</v>
      </c>
      <c r="Q4" s="33" t="s">
        <v>34</v>
      </c>
      <c r="R4" s="33" t="s">
        <v>35</v>
      </c>
      <c r="S4" s="33" t="s">
        <v>70</v>
      </c>
      <c r="T4" s="177"/>
      <c r="V4" s="6" t="s">
        <v>40</v>
      </c>
    </row>
    <row r="5" spans="2:22" ht="20.100000000000001" customHeight="1" x14ac:dyDescent="0.25">
      <c r="B5" s="147" t="str">
        <f>CONCATENATE("March",", ", Form!$C$3)</f>
        <v>March, 2023</v>
      </c>
      <c r="C5" s="148">
        <v>45016</v>
      </c>
      <c r="D5" s="44">
        <f>IF(C5&lt;=Form!$C$21,Form!C14,0)</f>
        <v>0</v>
      </c>
      <c r="E5" s="44">
        <f>IF(Form!$C$15="Yes",(D5*20%), 0)</f>
        <v>0</v>
      </c>
      <c r="F5" s="14">
        <v>0.38</v>
      </c>
      <c r="G5" s="15">
        <f t="shared" ref="G5:G16" si="0">ROUND((SUM(D5:E5)*F5),0)</f>
        <v>0</v>
      </c>
      <c r="H5" s="15">
        <f>ROUND((D5*0.09),0)</f>
        <v>0</v>
      </c>
      <c r="I5" s="16">
        <f>IF(D5=0,0,IF(T5="YES", (IF(Form!$C$13&gt;=9,(3600+(3600*F5)), IF(Form!$C$13&gt;=3,(1800+(1800*F5)), IF(Form!$C$13&gt;=1,(900+(900*F5)),0)))),0))</f>
        <v>0</v>
      </c>
      <c r="J5" s="36"/>
      <c r="K5" s="17">
        <f>D5+G5+H5+I5+J5+E5</f>
        <v>0</v>
      </c>
      <c r="L5" s="40"/>
      <c r="M5" s="40"/>
      <c r="N5" s="40"/>
      <c r="O5" s="40"/>
      <c r="P5" s="40"/>
      <c r="Q5" s="40"/>
      <c r="R5" s="40"/>
      <c r="S5" s="40"/>
      <c r="T5" s="13" t="s">
        <v>40</v>
      </c>
      <c r="U5" s="8">
        <f>COUNTIF(T5:T16,"YES")</f>
        <v>12</v>
      </c>
      <c r="V5" s="5" t="s">
        <v>28</v>
      </c>
    </row>
    <row r="6" spans="2:22" ht="20.100000000000001" customHeight="1" x14ac:dyDescent="0.25">
      <c r="B6" s="19" t="str">
        <f>CONCATENATE("April",", ", Form!$C$3)</f>
        <v>April, 2023</v>
      </c>
      <c r="C6" s="148">
        <v>45046</v>
      </c>
      <c r="D6" s="44">
        <f>IF(C6&lt;=Form!$C$21,D5,0)</f>
        <v>0</v>
      </c>
      <c r="E6" s="44">
        <f>IF(Form!$C$15="Yes",(D6*20%), 0)</f>
        <v>0</v>
      </c>
      <c r="F6" s="14">
        <v>0.42</v>
      </c>
      <c r="G6" s="15">
        <f t="shared" si="0"/>
        <v>0</v>
      </c>
      <c r="H6" s="15">
        <f t="shared" ref="H6:H16" si="1">ROUND((D6*0.09),0)</f>
        <v>0</v>
      </c>
      <c r="I6" s="16">
        <f>IF(D6=0,0,IF(T6="YES", (IF(Form!$C$13&gt;=9,(3600+(3600*F6)), IF(Form!$C$13&gt;=3,(1800+(1800*F6)), IF(Form!$C$13&gt;=1,(900+(900*F6)),0)))),0))</f>
        <v>0</v>
      </c>
      <c r="J6" s="36"/>
      <c r="K6" s="17">
        <f t="shared" ref="K6:K16" si="2">D6+G6+H6+I6+J6+E6</f>
        <v>0</v>
      </c>
      <c r="L6" s="40"/>
      <c r="M6" s="40"/>
      <c r="N6" s="40"/>
      <c r="O6" s="40"/>
      <c r="P6" s="40"/>
      <c r="Q6" s="40"/>
      <c r="R6" s="40"/>
      <c r="S6" s="40"/>
      <c r="T6" s="13" t="s">
        <v>40</v>
      </c>
    </row>
    <row r="7" spans="2:22" ht="20.100000000000001" customHeight="1" x14ac:dyDescent="0.25">
      <c r="B7" s="19" t="str">
        <f>CONCATENATE("May",", ", Form!$C$3)</f>
        <v>May, 2023</v>
      </c>
      <c r="C7" s="148">
        <v>45077</v>
      </c>
      <c r="D7" s="44">
        <f>IF(C7&lt;=Form!$C$21,D6,0)</f>
        <v>0</v>
      </c>
      <c r="E7" s="44">
        <f>IF(Form!$C$15="Yes",(D7*20%), 0)</f>
        <v>0</v>
      </c>
      <c r="F7" s="14">
        <v>0.42</v>
      </c>
      <c r="G7" s="15">
        <f t="shared" si="0"/>
        <v>0</v>
      </c>
      <c r="H7" s="15">
        <f t="shared" si="1"/>
        <v>0</v>
      </c>
      <c r="I7" s="16">
        <f>IF(D7=0,0,IF(T7="YES", (IF(Form!$C$13&gt;=9,(3600+(3600*F7)), IF(Form!$C$13&gt;=3,(1800+(1800*F7)), IF(Form!$C$13&gt;=1,(900+(900*F7)),0)))),0))</f>
        <v>0</v>
      </c>
      <c r="J7" s="36"/>
      <c r="K7" s="17">
        <f t="shared" si="2"/>
        <v>0</v>
      </c>
      <c r="L7" s="40"/>
      <c r="M7" s="40"/>
      <c r="N7" s="40"/>
      <c r="O7" s="40"/>
      <c r="P7" s="40"/>
      <c r="Q7" s="40"/>
      <c r="R7" s="40"/>
      <c r="S7" s="40"/>
      <c r="T7" s="13" t="s">
        <v>40</v>
      </c>
    </row>
    <row r="8" spans="2:22" ht="20.100000000000001" customHeight="1" x14ac:dyDescent="0.25">
      <c r="B8" s="19" t="str">
        <f>CONCATENATE("June",", ", Form!$C$3)</f>
        <v>June, 2023</v>
      </c>
      <c r="C8" s="148">
        <v>45107</v>
      </c>
      <c r="D8" s="44">
        <f>IF(C8&lt;=Form!$C$21,D7,0)</f>
        <v>0</v>
      </c>
      <c r="E8" s="44">
        <f>IF(Form!$C$15="Yes",(D8*20%), 0)</f>
        <v>0</v>
      </c>
      <c r="F8" s="14">
        <v>0.42</v>
      </c>
      <c r="G8" s="15">
        <f t="shared" si="0"/>
        <v>0</v>
      </c>
      <c r="H8" s="15">
        <f t="shared" si="1"/>
        <v>0</v>
      </c>
      <c r="I8" s="16">
        <f>IF(D8=0,0,IF(T8="YES", (IF(Form!$C$13&gt;=9,(3600+(3600*F8)), IF(Form!$C$13&gt;=3,(1800+(1800*F8)), IF(Form!$C$13&gt;=1,(900+(900*F8)),0)))),0))</f>
        <v>0</v>
      </c>
      <c r="J8" s="36"/>
      <c r="K8" s="17">
        <f t="shared" si="2"/>
        <v>0</v>
      </c>
      <c r="L8" s="40"/>
      <c r="M8" s="40"/>
      <c r="N8" s="40"/>
      <c r="O8" s="40"/>
      <c r="P8" s="40"/>
      <c r="Q8" s="40"/>
      <c r="R8" s="40"/>
      <c r="S8" s="40"/>
      <c r="T8" s="13" t="s">
        <v>40</v>
      </c>
    </row>
    <row r="9" spans="2:22" ht="20.100000000000001" customHeight="1" x14ac:dyDescent="0.25">
      <c r="B9" s="19" t="str">
        <f>CONCATENATE("July",", ", Form!$C$3)</f>
        <v>July, 2023</v>
      </c>
      <c r="C9" s="148">
        <v>45138</v>
      </c>
      <c r="D9" s="44">
        <f>IF(C9&lt;=Form!$C$21,(IF(AND(Form!C16="No",Form!C17="NA"),D8, IF(AND(Form!C16="Yes",Form!C17="July"),(ROUND((D8+(D8*3%)),-2)), IF(AND(Form!C16="No", Form!C17="July"), "Error", IF(AND(Form!C16="No", Form!C17="January"), "Error", IF(AND(Form!C16="Yes", Form!C17="NA"),"Error", D8)))))),0)</f>
        <v>0</v>
      </c>
      <c r="E9" s="44">
        <f>IF(Form!$C$15="Yes",(D9*20%), 0)</f>
        <v>0</v>
      </c>
      <c r="F9" s="14">
        <v>0.42</v>
      </c>
      <c r="G9" s="15">
        <f t="shared" si="0"/>
        <v>0</v>
      </c>
      <c r="H9" s="15">
        <f t="shared" si="1"/>
        <v>0</v>
      </c>
      <c r="I9" s="16">
        <f>IF(D9=0,0,IF(T9="YES", (IF(Form!$C$13&gt;=9,(3600+(3600*F9)), IF(Form!$C$13&gt;=3,(1800+(1800*F9)), IF(Form!$C$13&gt;=1,(900+(900*F9)),0)))),0))</f>
        <v>0</v>
      </c>
      <c r="J9" s="36"/>
      <c r="K9" s="17">
        <f t="shared" si="2"/>
        <v>0</v>
      </c>
      <c r="L9" s="40"/>
      <c r="M9" s="40"/>
      <c r="N9" s="40"/>
      <c r="O9" s="40"/>
      <c r="P9" s="40"/>
      <c r="Q9" s="40"/>
      <c r="R9" s="40"/>
      <c r="S9" s="40"/>
      <c r="T9" s="13" t="s">
        <v>40</v>
      </c>
    </row>
    <row r="10" spans="2:22" ht="20.100000000000001" customHeight="1" x14ac:dyDescent="0.25">
      <c r="B10" s="19" t="str">
        <f>CONCATENATE("August",", ", Form!$C$3)</f>
        <v>August, 2023</v>
      </c>
      <c r="C10" s="148">
        <v>45169</v>
      </c>
      <c r="D10" s="44">
        <f>IF(C10&lt;=Form!$C$21,D9,0)</f>
        <v>0</v>
      </c>
      <c r="E10" s="44">
        <f>IF(Form!$C$15="Yes",(D10*20%), 0)</f>
        <v>0</v>
      </c>
      <c r="F10" s="14">
        <v>0.42</v>
      </c>
      <c r="G10" s="15">
        <f t="shared" si="0"/>
        <v>0</v>
      </c>
      <c r="H10" s="15">
        <f t="shared" si="1"/>
        <v>0</v>
      </c>
      <c r="I10" s="16">
        <f>IF(D10=0,0,IF(T10="YES", (IF(Form!$C$13&gt;=9,(3600+(3600*F10)), IF(Form!$C$13&gt;=3,(1800+(1800*F10)), IF(Form!$C$13&gt;=1,(900+(900*F10)),0)))),0))</f>
        <v>0</v>
      </c>
      <c r="J10" s="36"/>
      <c r="K10" s="17">
        <f t="shared" si="2"/>
        <v>0</v>
      </c>
      <c r="L10" s="40"/>
      <c r="M10" s="40"/>
      <c r="N10" s="40"/>
      <c r="O10" s="40"/>
      <c r="P10" s="40"/>
      <c r="Q10" s="40"/>
      <c r="R10" s="40"/>
      <c r="S10" s="40"/>
      <c r="T10" s="13" t="s">
        <v>40</v>
      </c>
    </row>
    <row r="11" spans="2:22" ht="20.100000000000001" customHeight="1" x14ac:dyDescent="0.25">
      <c r="B11" s="19" t="str">
        <f>CONCATENATE("September",", ", Form!$C$3)</f>
        <v>September, 2023</v>
      </c>
      <c r="C11" s="148">
        <v>45199</v>
      </c>
      <c r="D11" s="44">
        <f>IF(C11&lt;=Form!$C$21,D10,0)</f>
        <v>0</v>
      </c>
      <c r="E11" s="44">
        <f>IF(Form!$C$15="Yes",(D11*20%), 0)</f>
        <v>0</v>
      </c>
      <c r="F11" s="14">
        <v>0.42</v>
      </c>
      <c r="G11" s="15">
        <f t="shared" si="0"/>
        <v>0</v>
      </c>
      <c r="H11" s="15">
        <f t="shared" si="1"/>
        <v>0</v>
      </c>
      <c r="I11" s="16">
        <f>IF(D11=0,0,IF(T11="YES", (IF(Form!$C$13&gt;=9,(3600+(3600*F11)), IF(Form!$C$13&gt;=3,(1800+(1800*F11)), IF(Form!$C$13&gt;=1,(900+(900*F11)),0)))),0))</f>
        <v>0</v>
      </c>
      <c r="J11" s="36"/>
      <c r="K11" s="17">
        <f t="shared" si="2"/>
        <v>0</v>
      </c>
      <c r="L11" s="40"/>
      <c r="M11" s="40"/>
      <c r="N11" s="40"/>
      <c r="O11" s="40"/>
      <c r="P11" s="40"/>
      <c r="Q11" s="40"/>
      <c r="R11" s="40"/>
      <c r="S11" s="40"/>
      <c r="T11" s="13" t="s">
        <v>40</v>
      </c>
    </row>
    <row r="12" spans="2:22" ht="20.100000000000001" customHeight="1" x14ac:dyDescent="0.25">
      <c r="B12" s="19" t="str">
        <f>CONCATENATE("October",", ", Form!$C$3)</f>
        <v>October, 2023</v>
      </c>
      <c r="C12" s="148">
        <v>45230</v>
      </c>
      <c r="D12" s="44">
        <f>IF(C12&lt;=Form!$C$21,D11,0)</f>
        <v>0</v>
      </c>
      <c r="E12" s="44">
        <f>IF(Form!$C$15="Yes",(D12*20%), 0)</f>
        <v>0</v>
      </c>
      <c r="F12" s="14">
        <v>0.42</v>
      </c>
      <c r="G12" s="15">
        <f t="shared" si="0"/>
        <v>0</v>
      </c>
      <c r="H12" s="15">
        <f t="shared" si="1"/>
        <v>0</v>
      </c>
      <c r="I12" s="16">
        <f>IF(D12=0,0,IF(T12="YES", (IF(Form!$C$13&gt;=9,(3600+(3600*F12)), IF(Form!$C$13&gt;=3,(1800+(1800*F12)), IF(Form!$C$13&gt;=1,(900+(900*F12)),0)))),0))</f>
        <v>0</v>
      </c>
      <c r="J12" s="36"/>
      <c r="K12" s="17">
        <f t="shared" si="2"/>
        <v>0</v>
      </c>
      <c r="L12" s="40"/>
      <c r="M12" s="40"/>
      <c r="N12" s="40"/>
      <c r="O12" s="40"/>
      <c r="P12" s="40"/>
      <c r="Q12" s="40"/>
      <c r="R12" s="40"/>
      <c r="S12" s="40"/>
      <c r="T12" s="13" t="s">
        <v>40</v>
      </c>
    </row>
    <row r="13" spans="2:22" ht="20.100000000000001" customHeight="1" x14ac:dyDescent="0.25">
      <c r="B13" s="19" t="str">
        <f>CONCATENATE("November",", ", Form!$C$3)</f>
        <v>November, 2023</v>
      </c>
      <c r="C13" s="148">
        <v>45260</v>
      </c>
      <c r="D13" s="44">
        <f>IF(C13&lt;=Form!$C$21,D12,0)</f>
        <v>0</v>
      </c>
      <c r="E13" s="44">
        <f>IF(Form!$C$15="Yes",(D13*20%), 0)</f>
        <v>0</v>
      </c>
      <c r="F13" s="14">
        <v>0.46</v>
      </c>
      <c r="G13" s="15">
        <f t="shared" si="0"/>
        <v>0</v>
      </c>
      <c r="H13" s="15">
        <f t="shared" si="1"/>
        <v>0</v>
      </c>
      <c r="I13" s="16">
        <f>IF(D13=0,0,IF(T13="YES", (IF(Form!$C$13&gt;=9,(3600+(3600*F13)), IF(Form!$C$13&gt;=3,(1800+(1800*F13)), IF(Form!$C$13&gt;=1,(900+(900*F13)),0)))),0))</f>
        <v>0</v>
      </c>
      <c r="J13" s="36"/>
      <c r="K13" s="17">
        <f t="shared" si="2"/>
        <v>0</v>
      </c>
      <c r="L13" s="40"/>
      <c r="M13" s="40"/>
      <c r="N13" s="40"/>
      <c r="O13" s="40"/>
      <c r="P13" s="40"/>
      <c r="Q13" s="40"/>
      <c r="R13" s="40"/>
      <c r="S13" s="40"/>
      <c r="T13" s="13" t="s">
        <v>40</v>
      </c>
    </row>
    <row r="14" spans="2:22" ht="20.100000000000001" customHeight="1" x14ac:dyDescent="0.25">
      <c r="B14" s="19" t="str">
        <f>CONCATENATE("December",", ", Form!$C$3)</f>
        <v>December, 2023</v>
      </c>
      <c r="C14" s="148">
        <v>45291</v>
      </c>
      <c r="D14" s="44">
        <f>IF(C14&lt;=Form!$C$21,D13,0)</f>
        <v>0</v>
      </c>
      <c r="E14" s="44">
        <f>IF(Form!$C$15="Yes",(D14*20%), 0)</f>
        <v>0</v>
      </c>
      <c r="F14" s="14">
        <v>0.46</v>
      </c>
      <c r="G14" s="15">
        <f t="shared" si="0"/>
        <v>0</v>
      </c>
      <c r="H14" s="15">
        <f t="shared" si="1"/>
        <v>0</v>
      </c>
      <c r="I14" s="16">
        <f>IF(D14=0,0,IF(T14="YES", (IF(Form!$C$13&gt;=9,(3600+(3600*F14)), IF(Form!$C$13&gt;=3,(1800+(1800*F14)), IF(Form!$C$13&gt;=1,(900+(900*F14)),0)))),0))</f>
        <v>0</v>
      </c>
      <c r="J14" s="36"/>
      <c r="K14" s="17">
        <f t="shared" si="2"/>
        <v>0</v>
      </c>
      <c r="L14" s="40"/>
      <c r="M14" s="40"/>
      <c r="N14" s="40"/>
      <c r="O14" s="40"/>
      <c r="P14" s="40"/>
      <c r="Q14" s="40"/>
      <c r="R14" s="40"/>
      <c r="S14" s="41">
        <f>'IT statement'!D110</f>
        <v>0</v>
      </c>
      <c r="T14" s="13" t="s">
        <v>40</v>
      </c>
    </row>
    <row r="15" spans="2:22" ht="20.100000000000001" customHeight="1" x14ac:dyDescent="0.25">
      <c r="B15" s="19" t="str">
        <f>CONCATENATE("January",", ", Form!$E$3)</f>
        <v>January, 2024</v>
      </c>
      <c r="C15" s="148">
        <v>45322</v>
      </c>
      <c r="D15" s="44">
        <f>IF(C15&lt;=Form!$C$21,(IF(AND(Form!C16="No",Form!C17="NA"),D14, IF(AND(Form!C16="Yes",Form!C17="January"),(ROUND((D14+(D14*3%)),-2)), IF(AND(Form!C16="No", Form!C17="July"), "Error", IF(AND(Form!C16="No", Form!C17="January"), "Error", IF(AND(Form!C16="Yes", Form!C17="NA"),"Error", D14)))))),0)</f>
        <v>0</v>
      </c>
      <c r="E15" s="44">
        <f>IF(Form!$C$15="Yes",(D15*20%), 0)</f>
        <v>0</v>
      </c>
      <c r="F15" s="14">
        <v>0.46</v>
      </c>
      <c r="G15" s="15">
        <f t="shared" si="0"/>
        <v>0</v>
      </c>
      <c r="H15" s="15">
        <f t="shared" si="1"/>
        <v>0</v>
      </c>
      <c r="I15" s="16">
        <f>IF(D15=0,0,IF(T15="YES", (IF(Form!$C$13&gt;=9,(3600+(3600*F15)), IF(Form!$C$13&gt;=3,(1800+(1800*F15)), IF(Form!$C$13&gt;=1,(900+(900*F15)),0)))),0))</f>
        <v>0</v>
      </c>
      <c r="J15" s="36"/>
      <c r="K15" s="17">
        <f t="shared" si="2"/>
        <v>0</v>
      </c>
      <c r="L15" s="40"/>
      <c r="M15" s="40"/>
      <c r="N15" s="40"/>
      <c r="O15" s="40"/>
      <c r="P15" s="40"/>
      <c r="Q15" s="40"/>
      <c r="R15" s="40"/>
      <c r="S15" s="41">
        <f>'IT statement'!D111</f>
        <v>0</v>
      </c>
      <c r="T15" s="13" t="s">
        <v>40</v>
      </c>
    </row>
    <row r="16" spans="2:22" ht="20.100000000000001" customHeight="1" x14ac:dyDescent="0.25">
      <c r="B16" s="19" t="str">
        <f>CONCATENATE("February",", ", Form!$E$3)</f>
        <v>February, 2024</v>
      </c>
      <c r="C16" s="148">
        <v>45351</v>
      </c>
      <c r="D16" s="44">
        <f>IF(C16&lt;=Form!$C$21,D15,0)</f>
        <v>0</v>
      </c>
      <c r="E16" s="44">
        <f>IF(Form!$C$15="Yes",(D16*20%), 0)</f>
        <v>0</v>
      </c>
      <c r="F16" s="14">
        <v>0.46</v>
      </c>
      <c r="G16" s="15">
        <f t="shared" si="0"/>
        <v>0</v>
      </c>
      <c r="H16" s="15">
        <f t="shared" si="1"/>
        <v>0</v>
      </c>
      <c r="I16" s="16">
        <f>IF(D16=0,0,IF(T16="YES", (IF(Form!$C$13&gt;=9,(3600+(3600*F16)), IF(Form!$C$13&gt;=3,(1800+(1800*F16)), IF(Form!$C$13&gt;=1,(900+(900*F16)),0)))),0))</f>
        <v>0</v>
      </c>
      <c r="J16" s="36"/>
      <c r="K16" s="17">
        <f t="shared" si="2"/>
        <v>0</v>
      </c>
      <c r="L16" s="40"/>
      <c r="M16" s="40"/>
      <c r="N16" s="40"/>
      <c r="O16" s="40"/>
      <c r="P16" s="40"/>
      <c r="Q16" s="40"/>
      <c r="R16" s="40"/>
      <c r="S16" s="41">
        <f>'IT statement'!D112</f>
        <v>0</v>
      </c>
      <c r="T16" s="13" t="s">
        <v>40</v>
      </c>
    </row>
    <row r="17" spans="2:20" ht="20.100000000000001" customHeight="1" x14ac:dyDescent="0.25">
      <c r="B17" s="20" t="s">
        <v>21</v>
      </c>
      <c r="C17" s="20"/>
      <c r="D17" s="34">
        <f>SUM(D5:D16)</f>
        <v>0</v>
      </c>
      <c r="E17" s="34">
        <f>SUM(E5:E16)</f>
        <v>0</v>
      </c>
      <c r="F17" s="34"/>
      <c r="G17" s="34">
        <f>SUM(G5:G16)</f>
        <v>0</v>
      </c>
      <c r="H17" s="34">
        <f t="shared" ref="H17:R17" si="3">SUM(H5:H16)</f>
        <v>0</v>
      </c>
      <c r="I17" s="34">
        <f t="shared" si="3"/>
        <v>0</v>
      </c>
      <c r="J17" s="34">
        <f t="shared" si="3"/>
        <v>0</v>
      </c>
      <c r="K17" s="34">
        <f t="shared" si="3"/>
        <v>0</v>
      </c>
      <c r="L17" s="42">
        <f>SUM(L5:L16)</f>
        <v>0</v>
      </c>
      <c r="M17" s="34">
        <f t="shared" si="3"/>
        <v>0</v>
      </c>
      <c r="N17" s="34">
        <f t="shared" si="3"/>
        <v>0</v>
      </c>
      <c r="O17" s="34">
        <f t="shared" si="3"/>
        <v>0</v>
      </c>
      <c r="P17" s="34">
        <f t="shared" si="3"/>
        <v>0</v>
      </c>
      <c r="Q17" s="34">
        <f t="shared" si="3"/>
        <v>0</v>
      </c>
      <c r="R17" s="34">
        <f t="shared" si="3"/>
        <v>0</v>
      </c>
      <c r="S17" s="42">
        <f>SUM(S5:S16)</f>
        <v>0</v>
      </c>
      <c r="T17" s="35"/>
    </row>
    <row r="18" spans="2:20" ht="18" customHeight="1" x14ac:dyDescent="0.25">
      <c r="B18" s="19" t="s">
        <v>73</v>
      </c>
      <c r="C18" s="144"/>
      <c r="D18" s="21"/>
      <c r="E18" s="22"/>
      <c r="F18" s="22"/>
      <c r="G18" s="78">
        <f>(G8-G5)*3</f>
        <v>0</v>
      </c>
      <c r="H18" s="178"/>
      <c r="I18" s="82">
        <f>(I8-I5)*3</f>
        <v>0</v>
      </c>
      <c r="J18" s="180"/>
      <c r="K18" s="17">
        <f>ROUND((G18+I18),0)</f>
        <v>0</v>
      </c>
      <c r="L18" s="24"/>
      <c r="M18" s="24"/>
      <c r="N18" s="24"/>
      <c r="O18" s="24"/>
      <c r="P18" s="24"/>
      <c r="Q18" s="24"/>
      <c r="R18" s="24"/>
      <c r="S18" s="24"/>
    </row>
    <row r="19" spans="2:20" ht="18" customHeight="1" x14ac:dyDescent="0.25">
      <c r="B19" s="19" t="s">
        <v>72</v>
      </c>
      <c r="C19" s="145"/>
      <c r="D19" s="25"/>
      <c r="E19" s="22"/>
      <c r="F19" s="22"/>
      <c r="G19" s="23">
        <f>(G13-G9)*4</f>
        <v>0</v>
      </c>
      <c r="H19" s="179"/>
      <c r="I19" s="83">
        <f>(I13-I9)*4</f>
        <v>0</v>
      </c>
      <c r="J19" s="181"/>
      <c r="K19" s="17">
        <f>ROUND((G19+I19),0)</f>
        <v>0</v>
      </c>
      <c r="L19" s="26"/>
      <c r="M19" s="26"/>
      <c r="N19" s="26"/>
      <c r="O19" s="26"/>
      <c r="P19" s="26"/>
      <c r="Q19" s="26"/>
      <c r="R19" s="26"/>
      <c r="S19" s="26"/>
    </row>
    <row r="20" spans="2:20" ht="18" customHeight="1" x14ac:dyDescent="0.25">
      <c r="B20" s="19" t="s">
        <v>266</v>
      </c>
      <c r="C20" s="145"/>
      <c r="D20" s="25"/>
      <c r="E20" s="22"/>
      <c r="F20" s="22"/>
      <c r="G20" s="27"/>
      <c r="H20" s="25"/>
      <c r="I20" s="27"/>
      <c r="J20" s="37"/>
      <c r="K20" s="28">
        <f>J20</f>
        <v>0</v>
      </c>
      <c r="L20" s="26"/>
      <c r="M20" s="26"/>
      <c r="N20" s="26"/>
      <c r="O20" s="26"/>
      <c r="P20" s="26"/>
      <c r="Q20" s="26"/>
      <c r="R20" s="26"/>
      <c r="S20" s="26"/>
    </row>
    <row r="21" spans="2:20" ht="18" customHeight="1" x14ac:dyDescent="0.25">
      <c r="B21" s="19" t="s">
        <v>279</v>
      </c>
      <c r="C21" s="145"/>
      <c r="D21" s="25"/>
      <c r="E21" s="22"/>
      <c r="F21" s="22"/>
      <c r="G21" s="22"/>
      <c r="H21" s="25"/>
      <c r="I21" s="22"/>
      <c r="J21" s="39">
        <f>Form!J9+Form!M23</f>
        <v>0</v>
      </c>
      <c r="K21" s="28">
        <f>J21</f>
        <v>0</v>
      </c>
      <c r="L21" s="26"/>
      <c r="M21" s="26"/>
      <c r="N21" s="26"/>
      <c r="O21" s="26"/>
      <c r="P21" s="26"/>
      <c r="Q21" s="26"/>
      <c r="R21" s="26"/>
      <c r="S21" s="26"/>
    </row>
    <row r="22" spans="2:20" ht="18" customHeight="1" x14ac:dyDescent="0.25">
      <c r="B22" s="19" t="s">
        <v>71</v>
      </c>
      <c r="C22" s="146"/>
      <c r="D22" s="29"/>
      <c r="E22" s="22"/>
      <c r="F22" s="22"/>
      <c r="G22" s="22"/>
      <c r="H22" s="29"/>
      <c r="I22" s="22"/>
      <c r="J22" s="38"/>
      <c r="K22" s="28">
        <f>J22</f>
        <v>0</v>
      </c>
      <c r="L22" s="26"/>
      <c r="M22" s="26"/>
      <c r="N22" s="26"/>
      <c r="O22" s="26"/>
      <c r="P22" s="26"/>
      <c r="Q22" s="26"/>
      <c r="R22" s="26"/>
      <c r="S22" s="26"/>
    </row>
    <row r="23" spans="2:20" ht="20.100000000000001" customHeight="1" x14ac:dyDescent="0.25">
      <c r="B23" s="30" t="s">
        <v>75</v>
      </c>
      <c r="C23" s="30"/>
      <c r="D23" s="31">
        <f>D17</f>
        <v>0</v>
      </c>
      <c r="E23" s="31"/>
      <c r="F23" s="31"/>
      <c r="G23" s="31">
        <f>SUM(G17:G19)</f>
        <v>0</v>
      </c>
      <c r="H23" s="31">
        <f>H17</f>
        <v>0</v>
      </c>
      <c r="I23" s="31">
        <f>SUM(I17:I19)</f>
        <v>0</v>
      </c>
      <c r="J23" s="31">
        <f>SUM(J17,J20:J22)</f>
        <v>0</v>
      </c>
      <c r="K23" s="18">
        <f>SUM(K17:K22)</f>
        <v>0</v>
      </c>
      <c r="L23" s="18">
        <f>L17</f>
        <v>0</v>
      </c>
      <c r="M23" s="18">
        <f t="shared" ref="M23:S23" si="4">M17</f>
        <v>0</v>
      </c>
      <c r="N23" s="18">
        <f t="shared" si="4"/>
        <v>0</v>
      </c>
      <c r="O23" s="18">
        <f t="shared" si="4"/>
        <v>0</v>
      </c>
      <c r="P23" s="18">
        <f t="shared" si="4"/>
        <v>0</v>
      </c>
      <c r="Q23" s="18">
        <f t="shared" si="4"/>
        <v>0</v>
      </c>
      <c r="R23" s="18">
        <f t="shared" si="4"/>
        <v>0</v>
      </c>
      <c r="S23" s="18">
        <f t="shared" si="4"/>
        <v>0</v>
      </c>
    </row>
    <row r="24" spans="2:20" x14ac:dyDescent="0.25">
      <c r="B24" s="176"/>
      <c r="C24" s="176"/>
      <c r="D24" s="176"/>
      <c r="E24" s="176"/>
      <c r="F24" s="176"/>
      <c r="G24" s="176"/>
      <c r="H24" s="176"/>
      <c r="I24" s="176"/>
      <c r="J24" s="176"/>
      <c r="K24" s="2"/>
      <c r="L24" s="2"/>
      <c r="M24" s="2"/>
      <c r="N24" s="2"/>
      <c r="O24" s="2"/>
      <c r="P24" s="2"/>
      <c r="Q24" s="2"/>
      <c r="R24" s="2"/>
      <c r="S24" s="2"/>
      <c r="T24" s="3"/>
    </row>
    <row r="25" spans="2:20" ht="24.95" customHeight="1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2:20" ht="24.95" customHeight="1" x14ac:dyDescent="0.25">
      <c r="B26" s="1"/>
      <c r="C26" s="1"/>
      <c r="D26" s="1"/>
      <c r="E26" s="1"/>
      <c r="F26" s="1"/>
      <c r="G26" s="1"/>
      <c r="H26" s="4"/>
      <c r="K26" s="1"/>
      <c r="L26" s="1"/>
      <c r="M26" s="1"/>
      <c r="N26" s="1"/>
      <c r="O26" s="1"/>
      <c r="P26" s="175" t="s">
        <v>1</v>
      </c>
      <c r="Q26" s="175"/>
      <c r="R26" s="175"/>
      <c r="S26" s="1"/>
    </row>
  </sheetData>
  <sheetProtection algorithmName="SHA-512" hashValue="TZqndbyPOBL9F2CT80NokyvC8KFNZ22J/Z6bWehIWHmJeyM+0Hj03CE1LAj1McP3jMIinBTDMX4xrb91hsBENQ==" saltValue="wFbA71tVb5jC7nPXDltCbw==" spinCount="100000" sheet="1" selectLockedCells="1"/>
  <customSheetViews>
    <customSheetView guid="{FB1B2773-2708-4BC7-98F1-55C7E60B40D3}" showPageBreaks="1" printArea="1" topLeftCell="B5">
      <selection activeCell="C5" sqref="C5"/>
      <pageMargins left="0.43307086614173229" right="0.27559055118110237" top="0.74803149606299213" bottom="0.4" header="0.31496062992125984" footer="0.31496062992125984"/>
      <pageSetup scale="90" orientation="landscape" blackAndWhite="1" horizontalDpi="0" verticalDpi="0" r:id="rId1"/>
    </customSheetView>
  </customSheetViews>
  <mergeCells count="9">
    <mergeCell ref="P26:R26"/>
    <mergeCell ref="B24:J24"/>
    <mergeCell ref="T1:T4"/>
    <mergeCell ref="H18:H19"/>
    <mergeCell ref="J18:J19"/>
    <mergeCell ref="B1:S1"/>
    <mergeCell ref="B2:S2"/>
    <mergeCell ref="L3:S3"/>
    <mergeCell ref="B3:K3"/>
  </mergeCells>
  <dataValidations count="2">
    <dataValidation type="list" allowBlank="1" showInputMessage="1" showErrorMessage="1" error="First select Yes or No for TA applicability" promptTitle="TA applicability" sqref="T5:T17" xr:uid="{00000000-0002-0000-0100-000000000000}">
      <formula1>$V$4:$V$5</formula1>
    </dataValidation>
    <dataValidation allowBlank="1" showInputMessage="1" showErrorMessage="1" promptTitle="TA applicability" prompt="Kindly ensure to select YES or NO for TA applicability" sqref="I5:I16" xr:uid="{00000000-0002-0000-0100-000001000000}"/>
  </dataValidations>
  <printOptions horizontalCentered="1" verticalCentered="1"/>
  <pageMargins left="0.23622047244094491" right="0.27559055118110237" top="0.99" bottom="0.43307086614173229" header="0" footer="0.55118110236220474"/>
  <pageSetup scale="97" orientation="landscape" blackAndWhite="1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117"/>
  <sheetViews>
    <sheetView topLeftCell="A90" zoomScale="80" zoomScaleNormal="80" zoomScaleSheetLayoutView="110" zoomScalePageLayoutView="150" workbookViewId="0">
      <selection activeCell="A6" sqref="A6:G6"/>
    </sheetView>
  </sheetViews>
  <sheetFormatPr defaultColWidth="9.140625" defaultRowHeight="15" x14ac:dyDescent="0.25"/>
  <cols>
    <col min="1" max="1" width="3.140625" customWidth="1"/>
    <col min="2" max="2" width="3.7109375" customWidth="1"/>
    <col min="3" max="3" width="11.85546875" customWidth="1"/>
    <col min="4" max="4" width="12.42578125" customWidth="1"/>
    <col min="5" max="5" width="12.140625" customWidth="1"/>
    <col min="6" max="6" width="1.28515625" customWidth="1"/>
    <col min="7" max="7" width="10.7109375" customWidth="1"/>
    <col min="8" max="8" width="12.140625" customWidth="1"/>
    <col min="9" max="9" width="1.42578125" customWidth="1"/>
    <col min="10" max="10" width="12.85546875" customWidth="1"/>
    <col min="11" max="11" width="15.28515625" customWidth="1"/>
    <col min="12" max="12" width="16.42578125" customWidth="1"/>
  </cols>
  <sheetData>
    <row r="1" spans="1:12" ht="23.1" customHeight="1" x14ac:dyDescent="0.25">
      <c r="A1" s="233" t="str">
        <f>Form!C2</f>
        <v>PANDIT JAWAHARLAL NEHRU COLLEGE OF AGRICULTURE AND RESEARCH INSTITUTE, KARAIKAL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</row>
    <row r="2" spans="1:12" ht="24" customHeight="1" x14ac:dyDescent="0.25">
      <c r="A2" s="234" t="str">
        <f>CONCATENATE("Determination of Income tax deductable from salary for financial year ", Form!C3, " - ", Form!E3, " ; Assessment year ", Form!C4, " - ",Form!E4)</f>
        <v>Determination of Income tax deductable from salary for financial year 2023 - 2024 ; Assessment year 2024 - 2025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2" ht="21.75" customHeight="1" x14ac:dyDescent="0.25">
      <c r="A3" s="86" t="s">
        <v>2</v>
      </c>
      <c r="B3" s="86"/>
      <c r="C3" s="86"/>
      <c r="D3" s="221">
        <f>Form!C5</f>
        <v>0</v>
      </c>
      <c r="E3" s="221"/>
      <c r="F3" s="221"/>
      <c r="G3" s="221"/>
      <c r="H3" s="89"/>
      <c r="I3" s="220" t="s">
        <v>3</v>
      </c>
      <c r="J3" s="220"/>
      <c r="K3" s="239"/>
      <c r="L3" s="238"/>
    </row>
    <row r="4" spans="1:12" ht="22.5" customHeight="1" x14ac:dyDescent="0.25">
      <c r="A4" s="220" t="s">
        <v>4</v>
      </c>
      <c r="B4" s="220"/>
      <c r="C4" s="220"/>
      <c r="D4" s="221">
        <f>Form!C7</f>
        <v>0</v>
      </c>
      <c r="E4" s="221"/>
      <c r="F4" s="221"/>
      <c r="G4" s="221"/>
      <c r="H4" s="89"/>
      <c r="I4" s="220" t="s">
        <v>11</v>
      </c>
      <c r="J4" s="220"/>
      <c r="K4" s="240">
        <f>Form!C8</f>
        <v>0</v>
      </c>
      <c r="L4" s="240"/>
    </row>
    <row r="5" spans="1:12" ht="20.45" customHeight="1" x14ac:dyDescent="0.25">
      <c r="A5" s="226" t="s">
        <v>9</v>
      </c>
      <c r="B5" s="226"/>
      <c r="C5" s="226"/>
      <c r="D5" s="226"/>
      <c r="E5" s="226"/>
      <c r="F5" s="89"/>
      <c r="G5" s="89"/>
      <c r="H5" s="89"/>
      <c r="I5" s="220" t="s">
        <v>12</v>
      </c>
      <c r="J5" s="220"/>
      <c r="K5" s="238" t="str">
        <f>IF(Form!C2="PANDIT JAWAHARLAL NEHRU COLLEGE OF AGRICULTURE AND RESEARCH INSTITUTE, KARAIKAL", "CHEP03539E", "")</f>
        <v>CHEP03539E</v>
      </c>
      <c r="L5" s="238"/>
    </row>
    <row r="6" spans="1:12" ht="26.25" customHeight="1" x14ac:dyDescent="0.25">
      <c r="A6" s="250"/>
      <c r="B6" s="250"/>
      <c r="C6" s="250"/>
      <c r="D6" s="250"/>
      <c r="E6" s="250"/>
      <c r="F6" s="250"/>
      <c r="G6" s="250"/>
      <c r="H6" s="89"/>
      <c r="I6" s="220" t="s">
        <v>5</v>
      </c>
      <c r="J6" s="220"/>
      <c r="K6" s="220"/>
      <c r="L6" s="88" t="str">
        <f>CONCATENATE(Form!C3, " - ", Form!E3)</f>
        <v>2023 - 2024</v>
      </c>
    </row>
    <row r="7" spans="1:12" ht="20.25" customHeight="1" x14ac:dyDescent="0.25">
      <c r="A7" s="192" t="s">
        <v>45</v>
      </c>
      <c r="B7" s="192"/>
      <c r="C7" s="192"/>
      <c r="D7" s="232">
        <f>Form!C9</f>
        <v>0</v>
      </c>
      <c r="E7" s="232"/>
      <c r="F7" s="232"/>
      <c r="G7" s="232"/>
      <c r="H7" s="89"/>
      <c r="I7" s="220" t="s">
        <v>0</v>
      </c>
      <c r="J7" s="220"/>
      <c r="K7" s="220"/>
      <c r="L7" s="88" t="str">
        <f>CONCATENATE(Form!C4, " - ", Form!E4)</f>
        <v>2024 - 2025</v>
      </c>
    </row>
    <row r="8" spans="1:12" ht="18.75" customHeight="1" x14ac:dyDescent="0.25">
      <c r="A8" s="192" t="s">
        <v>43</v>
      </c>
      <c r="B8" s="192"/>
      <c r="C8" s="192"/>
      <c r="D8" s="192">
        <f>Form!C10</f>
        <v>0</v>
      </c>
      <c r="E8" s="192"/>
      <c r="F8" s="192"/>
      <c r="G8" s="192"/>
      <c r="H8" s="87"/>
      <c r="I8" s="87"/>
      <c r="J8" s="87"/>
      <c r="K8" s="87"/>
      <c r="L8" s="89"/>
    </row>
    <row r="9" spans="1:12" ht="26.1" customHeight="1" x14ac:dyDescent="0.25">
      <c r="A9" s="192" t="s">
        <v>260</v>
      </c>
      <c r="B9" s="192"/>
      <c r="C9" s="192"/>
      <c r="D9" s="190" t="str">
        <f>IF(L79&gt;L87, "NEW REGIME", "OLD REGIME")</f>
        <v>OLD REGIME</v>
      </c>
      <c r="E9" s="190"/>
      <c r="F9" s="190"/>
      <c r="G9" s="190"/>
      <c r="H9" s="90" t="s">
        <v>53</v>
      </c>
      <c r="I9" s="90" t="s">
        <v>64</v>
      </c>
      <c r="J9" s="241">
        <f>Form!C12</f>
        <v>0</v>
      </c>
      <c r="K9" s="241"/>
      <c r="L9" s="241"/>
    </row>
    <row r="10" spans="1:12" ht="21" customHeight="1" x14ac:dyDescent="0.25">
      <c r="A10" s="225" t="s">
        <v>155</v>
      </c>
      <c r="B10" s="225"/>
      <c r="C10" s="225"/>
      <c r="D10" s="225"/>
      <c r="E10" s="225"/>
      <c r="F10" s="225"/>
      <c r="G10" s="225"/>
      <c r="H10" s="225"/>
      <c r="I10" s="225"/>
      <c r="J10" s="225"/>
      <c r="K10" s="91" t="s">
        <v>154</v>
      </c>
      <c r="L10" s="91" t="s">
        <v>20</v>
      </c>
    </row>
    <row r="11" spans="1:12" ht="54.6" customHeight="1" x14ac:dyDescent="0.25">
      <c r="A11" s="223">
        <v>1</v>
      </c>
      <c r="B11" s="92" t="s">
        <v>152</v>
      </c>
      <c r="C11" s="227" t="s">
        <v>153</v>
      </c>
      <c r="D11" s="228"/>
      <c r="E11" s="228"/>
      <c r="F11" s="228"/>
      <c r="G11" s="228"/>
      <c r="H11" s="228"/>
      <c r="I11" s="228"/>
      <c r="J11" s="228"/>
      <c r="K11" s="93">
        <f>'Monthly Salary'!K17</f>
        <v>0</v>
      </c>
      <c r="L11" s="235"/>
    </row>
    <row r="12" spans="1:12" ht="21" customHeight="1" x14ac:dyDescent="0.25">
      <c r="A12" s="223"/>
      <c r="B12" s="94" t="s">
        <v>156</v>
      </c>
      <c r="C12" s="222" t="s">
        <v>157</v>
      </c>
      <c r="D12" s="222"/>
      <c r="E12" s="222"/>
      <c r="F12" s="222"/>
      <c r="G12" s="222"/>
      <c r="H12" s="222"/>
      <c r="I12" s="222"/>
      <c r="J12" s="222"/>
      <c r="K12" s="95"/>
      <c r="L12" s="236"/>
    </row>
    <row r="13" spans="1:12" ht="21" customHeight="1" x14ac:dyDescent="0.25">
      <c r="A13" s="223"/>
      <c r="B13" s="94" t="s">
        <v>159</v>
      </c>
      <c r="C13" s="222" t="s">
        <v>158</v>
      </c>
      <c r="D13" s="222"/>
      <c r="E13" s="222"/>
      <c r="F13" s="222"/>
      <c r="G13" s="222"/>
      <c r="H13" s="222"/>
      <c r="I13" s="222"/>
      <c r="J13" s="222"/>
      <c r="K13" s="95"/>
      <c r="L13" s="237"/>
    </row>
    <row r="14" spans="1:12" ht="21" customHeight="1" x14ac:dyDescent="0.25">
      <c r="A14" s="223"/>
      <c r="B14" s="94" t="s">
        <v>160</v>
      </c>
      <c r="C14" s="231" t="s">
        <v>20</v>
      </c>
      <c r="D14" s="231"/>
      <c r="E14" s="231"/>
      <c r="F14" s="231"/>
      <c r="G14" s="231"/>
      <c r="H14" s="231"/>
      <c r="I14" s="231"/>
      <c r="J14" s="231"/>
      <c r="K14" s="96"/>
      <c r="L14" s="118">
        <f>SUM(K11:K13)</f>
        <v>0</v>
      </c>
    </row>
    <row r="15" spans="1:12" ht="21" customHeight="1" x14ac:dyDescent="0.25">
      <c r="A15" s="223"/>
      <c r="B15" s="94" t="s">
        <v>162</v>
      </c>
      <c r="C15" s="222" t="s">
        <v>161</v>
      </c>
      <c r="D15" s="222"/>
      <c r="E15" s="222"/>
      <c r="F15" s="222"/>
      <c r="G15" s="222"/>
      <c r="H15" s="222"/>
      <c r="I15" s="222"/>
      <c r="J15" s="222"/>
      <c r="K15" s="97"/>
      <c r="L15" s="119"/>
    </row>
    <row r="16" spans="1:12" x14ac:dyDescent="0.25">
      <c r="A16" s="224" t="s">
        <v>163</v>
      </c>
      <c r="B16" s="224"/>
      <c r="C16" s="224"/>
      <c r="D16" s="224"/>
      <c r="E16" s="224"/>
      <c r="F16" s="224"/>
      <c r="G16" s="224"/>
      <c r="H16" s="224"/>
      <c r="I16" s="224"/>
      <c r="J16" s="224"/>
      <c r="K16" s="96"/>
      <c r="L16" s="120">
        <f>SUM(L14,K15)</f>
        <v>0</v>
      </c>
    </row>
    <row r="17" spans="1:12" ht="17.100000000000001" customHeight="1" x14ac:dyDescent="0.25">
      <c r="A17" s="229">
        <v>2</v>
      </c>
      <c r="B17" s="225" t="s">
        <v>169</v>
      </c>
      <c r="C17" s="225"/>
      <c r="D17" s="225"/>
      <c r="E17" s="225"/>
      <c r="F17" s="225"/>
      <c r="G17" s="225"/>
      <c r="H17" s="225"/>
      <c r="I17" s="225"/>
      <c r="J17" s="225"/>
      <c r="K17" s="225"/>
      <c r="L17" s="225"/>
    </row>
    <row r="18" spans="1:12" ht="20.100000000000001" customHeight="1" x14ac:dyDescent="0.25">
      <c r="A18" s="230"/>
      <c r="B18" s="98" t="s">
        <v>152</v>
      </c>
      <c r="C18" s="195" t="s">
        <v>164</v>
      </c>
      <c r="D18" s="195"/>
      <c r="E18" s="195"/>
      <c r="F18" s="195"/>
      <c r="G18" s="195"/>
      <c r="H18" s="195"/>
      <c r="I18" s="195"/>
      <c r="J18" s="195"/>
      <c r="K18" s="100"/>
      <c r="L18" s="209"/>
    </row>
    <row r="19" spans="1:12" ht="17.25" customHeight="1" x14ac:dyDescent="0.25">
      <c r="A19" s="230"/>
      <c r="B19" s="98" t="s">
        <v>156</v>
      </c>
      <c r="C19" s="195" t="s">
        <v>165</v>
      </c>
      <c r="D19" s="195"/>
      <c r="E19" s="195"/>
      <c r="F19" s="195"/>
      <c r="G19" s="195"/>
      <c r="H19" s="195"/>
      <c r="I19" s="195"/>
      <c r="J19" s="195"/>
      <c r="K19" s="101"/>
      <c r="L19" s="210"/>
    </row>
    <row r="20" spans="1:12" ht="17.25" customHeight="1" x14ac:dyDescent="0.25">
      <c r="A20" s="230"/>
      <c r="B20" s="98" t="s">
        <v>159</v>
      </c>
      <c r="C20" s="193" t="s">
        <v>166</v>
      </c>
      <c r="D20" s="193"/>
      <c r="E20" s="193"/>
      <c r="F20" s="193"/>
      <c r="G20" s="193"/>
      <c r="H20" s="193"/>
      <c r="I20" s="193"/>
      <c r="J20" s="193"/>
      <c r="K20" s="101"/>
      <c r="L20" s="210"/>
    </row>
    <row r="21" spans="1:12" ht="17.25" customHeight="1" x14ac:dyDescent="0.25">
      <c r="A21" s="230"/>
      <c r="B21" s="98" t="s">
        <v>160</v>
      </c>
      <c r="C21" s="193" t="s">
        <v>167</v>
      </c>
      <c r="D21" s="193"/>
      <c r="E21" s="193"/>
      <c r="F21" s="193"/>
      <c r="G21" s="193"/>
      <c r="H21" s="193"/>
      <c r="I21" s="193"/>
      <c r="J21" s="193"/>
      <c r="K21" s="102"/>
      <c r="L21" s="210"/>
    </row>
    <row r="22" spans="1:12" ht="27" customHeight="1" x14ac:dyDescent="0.25">
      <c r="A22" s="230"/>
      <c r="B22" s="106" t="s">
        <v>168</v>
      </c>
      <c r="C22" s="185" t="s">
        <v>170</v>
      </c>
      <c r="D22" s="186"/>
      <c r="E22" s="186"/>
      <c r="F22" s="186"/>
      <c r="G22" s="186"/>
      <c r="H22" s="186"/>
      <c r="I22" s="186"/>
      <c r="J22" s="186"/>
      <c r="K22" s="187"/>
      <c r="L22" s="210"/>
    </row>
    <row r="23" spans="1:12" ht="20.100000000000001" customHeight="1" x14ac:dyDescent="0.25">
      <c r="A23" s="230"/>
      <c r="B23" s="98"/>
      <c r="C23" s="98" t="s">
        <v>171</v>
      </c>
      <c r="D23" s="195" t="s">
        <v>172</v>
      </c>
      <c r="E23" s="195"/>
      <c r="F23" s="195"/>
      <c r="G23" s="195"/>
      <c r="H23" s="195"/>
      <c r="I23" s="195"/>
      <c r="J23" s="103">
        <f>'Monthly Salary'!H23</f>
        <v>0</v>
      </c>
      <c r="K23" s="217"/>
      <c r="L23" s="210"/>
    </row>
    <row r="24" spans="1:12" ht="20.100000000000001" customHeight="1" x14ac:dyDescent="0.25">
      <c r="A24" s="230"/>
      <c r="B24" s="98"/>
      <c r="C24" s="98" t="s">
        <v>173</v>
      </c>
      <c r="D24" s="195" t="s">
        <v>174</v>
      </c>
      <c r="E24" s="195"/>
      <c r="F24" s="195"/>
      <c r="G24" s="195"/>
      <c r="H24" s="195"/>
      <c r="I24" s="195"/>
      <c r="J24" s="103">
        <f>IF(('Monthly Salary'!Q23-(('Monthly Salary'!D23+'Monthly Salary'!G23+'Monthly Salary'!E23)*10%))&lt;=0, 0, ROUND(('Monthly Salary'!Q23-(('Monthly Salary'!D23+'Monthly Salary'!G23+'Monthly Salary'!E23)*10%)),0))</f>
        <v>0</v>
      </c>
      <c r="K24" s="218"/>
      <c r="L24" s="210"/>
    </row>
    <row r="25" spans="1:12" ht="20.100000000000001" customHeight="1" x14ac:dyDescent="0.25">
      <c r="A25" s="230"/>
      <c r="B25" s="98"/>
      <c r="C25" s="98" t="s">
        <v>175</v>
      </c>
      <c r="D25" s="195" t="s">
        <v>176</v>
      </c>
      <c r="E25" s="195"/>
      <c r="F25" s="195"/>
      <c r="G25" s="195"/>
      <c r="H25" s="195"/>
      <c r="I25" s="195"/>
      <c r="J25" s="103">
        <f>('Monthly Salary'!G23+'Monthly Salary'!D23)*40%</f>
        <v>0</v>
      </c>
      <c r="K25" s="219"/>
      <c r="L25" s="210"/>
    </row>
    <row r="26" spans="1:12" ht="20.100000000000001" customHeight="1" x14ac:dyDescent="0.25">
      <c r="A26" s="230"/>
      <c r="B26" s="98"/>
      <c r="C26" s="194" t="s">
        <v>177</v>
      </c>
      <c r="D26" s="194"/>
      <c r="E26" s="194"/>
      <c r="F26" s="194"/>
      <c r="G26" s="194"/>
      <c r="H26" s="194"/>
      <c r="I26" s="194"/>
      <c r="J26" s="194"/>
      <c r="K26" s="104">
        <f>MIN(J23:J25)</f>
        <v>0</v>
      </c>
      <c r="L26" s="210"/>
    </row>
    <row r="27" spans="1:12" ht="17.100000000000001" customHeight="1" x14ac:dyDescent="0.25">
      <c r="A27" s="230"/>
      <c r="B27" s="98" t="s">
        <v>178</v>
      </c>
      <c r="C27" s="193" t="s">
        <v>179</v>
      </c>
      <c r="D27" s="193"/>
      <c r="E27" s="193"/>
      <c r="F27" s="193"/>
      <c r="G27" s="193"/>
      <c r="H27" s="193"/>
      <c r="I27" s="193"/>
      <c r="J27" s="193"/>
      <c r="K27" s="105"/>
      <c r="L27" s="210"/>
    </row>
    <row r="28" spans="1:12" ht="17.100000000000001" customHeight="1" x14ac:dyDescent="0.25">
      <c r="A28" s="230"/>
      <c r="B28" s="98" t="s">
        <v>180</v>
      </c>
      <c r="C28" s="193" t="s">
        <v>181</v>
      </c>
      <c r="D28" s="193"/>
      <c r="E28" s="193"/>
      <c r="F28" s="193"/>
      <c r="G28" s="193"/>
      <c r="H28" s="193"/>
      <c r="I28" s="193"/>
      <c r="J28" s="193"/>
      <c r="K28" s="102"/>
      <c r="L28" s="210"/>
    </row>
    <row r="29" spans="1:12" ht="20.45" customHeight="1" x14ac:dyDescent="0.25">
      <c r="A29" s="230"/>
      <c r="B29" s="98" t="s">
        <v>182</v>
      </c>
      <c r="C29" s="195" t="s">
        <v>183</v>
      </c>
      <c r="D29" s="195"/>
      <c r="E29" s="195"/>
      <c r="F29" s="195"/>
      <c r="G29" s="195"/>
      <c r="H29" s="195"/>
      <c r="I29" s="195"/>
      <c r="J29" s="195"/>
      <c r="K29" s="105"/>
      <c r="L29" s="211"/>
    </row>
    <row r="30" spans="1:12" ht="18.600000000000001" customHeight="1" x14ac:dyDescent="0.25">
      <c r="A30" s="230"/>
      <c r="B30" s="98" t="s">
        <v>171</v>
      </c>
      <c r="C30" s="195" t="s">
        <v>184</v>
      </c>
      <c r="D30" s="195"/>
      <c r="E30" s="195"/>
      <c r="F30" s="195"/>
      <c r="G30" s="195"/>
      <c r="H30" s="195"/>
      <c r="I30" s="195"/>
      <c r="J30" s="195"/>
      <c r="K30" s="212"/>
      <c r="L30" s="121">
        <f>SUM(K26:K29,K18:K21)</f>
        <v>0</v>
      </c>
    </row>
    <row r="31" spans="1:12" ht="18" customHeight="1" x14ac:dyDescent="0.25">
      <c r="A31" s="98">
        <v>3</v>
      </c>
      <c r="B31" s="196" t="s">
        <v>185</v>
      </c>
      <c r="C31" s="197"/>
      <c r="D31" s="197"/>
      <c r="E31" s="197"/>
      <c r="F31" s="197"/>
      <c r="G31" s="197"/>
      <c r="H31" s="197"/>
      <c r="I31" s="197"/>
      <c r="J31" s="198"/>
      <c r="K31" s="213"/>
      <c r="L31" s="121">
        <f>L14-L30</f>
        <v>0</v>
      </c>
    </row>
    <row r="32" spans="1:12" ht="15.95" customHeight="1" x14ac:dyDescent="0.25">
      <c r="A32" s="106">
        <v>4</v>
      </c>
      <c r="B32" s="242" t="s">
        <v>215</v>
      </c>
      <c r="C32" s="242"/>
      <c r="D32" s="242"/>
      <c r="E32" s="242"/>
      <c r="F32" s="242"/>
      <c r="G32" s="242"/>
      <c r="H32" s="242"/>
      <c r="I32" s="242"/>
      <c r="J32" s="242"/>
      <c r="K32" s="242"/>
      <c r="L32" s="242"/>
    </row>
    <row r="33" spans="1:18" ht="15" customHeight="1" x14ac:dyDescent="0.25">
      <c r="A33" s="107"/>
      <c r="B33" s="106" t="s">
        <v>152</v>
      </c>
      <c r="C33" s="191" t="s">
        <v>186</v>
      </c>
      <c r="D33" s="191"/>
      <c r="E33" s="191"/>
      <c r="F33" s="191"/>
      <c r="G33" s="191"/>
      <c r="H33" s="191"/>
      <c r="I33" s="191"/>
      <c r="J33" s="191"/>
      <c r="K33" s="108">
        <f>IF(K11=0,0,50000)</f>
        <v>0</v>
      </c>
      <c r="L33" s="214"/>
    </row>
    <row r="34" spans="1:18" ht="15" customHeight="1" x14ac:dyDescent="0.25">
      <c r="A34" s="107"/>
      <c r="B34" s="106" t="s">
        <v>156</v>
      </c>
      <c r="C34" s="191" t="s">
        <v>187</v>
      </c>
      <c r="D34" s="191"/>
      <c r="E34" s="191"/>
      <c r="F34" s="191"/>
      <c r="G34" s="191"/>
      <c r="H34" s="191"/>
      <c r="I34" s="191"/>
      <c r="J34" s="191"/>
      <c r="K34" s="109"/>
      <c r="L34" s="215"/>
    </row>
    <row r="35" spans="1:18" ht="15" customHeight="1" x14ac:dyDescent="0.25">
      <c r="A35" s="107"/>
      <c r="B35" s="106" t="s">
        <v>159</v>
      </c>
      <c r="C35" s="191" t="s">
        <v>188</v>
      </c>
      <c r="D35" s="191"/>
      <c r="E35" s="191"/>
      <c r="F35" s="191"/>
      <c r="G35" s="191"/>
      <c r="H35" s="191"/>
      <c r="I35" s="191"/>
      <c r="J35" s="191"/>
      <c r="K35" s="109"/>
      <c r="L35" s="216"/>
    </row>
    <row r="36" spans="1:18" ht="20.100000000000001" customHeight="1" x14ac:dyDescent="0.25">
      <c r="A36" s="98">
        <v>5</v>
      </c>
      <c r="B36" s="199" t="s">
        <v>189</v>
      </c>
      <c r="C36" s="199"/>
      <c r="D36" s="199"/>
      <c r="E36" s="199"/>
      <c r="F36" s="199"/>
      <c r="G36" s="199"/>
      <c r="H36" s="199"/>
      <c r="I36" s="199"/>
      <c r="J36" s="199"/>
      <c r="K36" s="212"/>
      <c r="L36" s="121">
        <f>SUM(K33:K35)</f>
        <v>0</v>
      </c>
    </row>
    <row r="37" spans="1:18" ht="20.100000000000001" customHeight="1" x14ac:dyDescent="0.25">
      <c r="A37" s="98">
        <v>6</v>
      </c>
      <c r="B37" s="199" t="s">
        <v>190</v>
      </c>
      <c r="C37" s="199"/>
      <c r="D37" s="199"/>
      <c r="E37" s="199"/>
      <c r="F37" s="199"/>
      <c r="G37" s="199"/>
      <c r="H37" s="199"/>
      <c r="I37" s="199"/>
      <c r="J37" s="199"/>
      <c r="K37" s="213"/>
      <c r="L37" s="118">
        <f>L31+L15-L36</f>
        <v>0</v>
      </c>
    </row>
    <row r="38" spans="1:18" ht="14.1" customHeight="1" x14ac:dyDescent="0.25">
      <c r="A38" s="98">
        <v>7</v>
      </c>
      <c r="B38" s="248" t="s">
        <v>191</v>
      </c>
      <c r="C38" s="248"/>
      <c r="D38" s="248"/>
      <c r="E38" s="248"/>
      <c r="F38" s="248"/>
      <c r="G38" s="248"/>
      <c r="H38" s="248"/>
      <c r="I38" s="248"/>
      <c r="J38" s="248"/>
      <c r="K38" s="248"/>
      <c r="L38" s="248"/>
    </row>
    <row r="39" spans="1:18" ht="20.100000000000001" customHeight="1" x14ac:dyDescent="0.25">
      <c r="A39" s="99"/>
      <c r="B39" s="98" t="s">
        <v>152</v>
      </c>
      <c r="C39" s="244" t="s">
        <v>276</v>
      </c>
      <c r="D39" s="195"/>
      <c r="E39" s="195"/>
      <c r="F39" s="195"/>
      <c r="G39" s="195"/>
      <c r="H39" s="195"/>
      <c r="I39" s="195"/>
      <c r="J39" s="195"/>
      <c r="K39" s="143">
        <f>'Monthly Salary'!K20</f>
        <v>0</v>
      </c>
      <c r="L39" s="209"/>
    </row>
    <row r="40" spans="1:18" ht="20.100000000000001" customHeight="1" x14ac:dyDescent="0.25">
      <c r="A40" s="99"/>
      <c r="B40" s="98" t="s">
        <v>156</v>
      </c>
      <c r="C40" s="244" t="s">
        <v>265</v>
      </c>
      <c r="D40" s="195"/>
      <c r="E40" s="195"/>
      <c r="F40" s="195"/>
      <c r="G40" s="195"/>
      <c r="H40" s="195"/>
      <c r="I40" s="195"/>
      <c r="J40" s="195"/>
      <c r="K40" s="143">
        <f>'Monthly Salary'!K21</f>
        <v>0</v>
      </c>
      <c r="L40" s="210"/>
    </row>
    <row r="41" spans="1:18" ht="20.100000000000001" customHeight="1" x14ac:dyDescent="0.25">
      <c r="A41" s="99"/>
      <c r="B41" s="98" t="s">
        <v>159</v>
      </c>
      <c r="C41" s="244" t="s">
        <v>275</v>
      </c>
      <c r="D41" s="195"/>
      <c r="E41" s="195"/>
      <c r="F41" s="195"/>
      <c r="G41" s="195"/>
      <c r="H41" s="195"/>
      <c r="I41" s="195"/>
      <c r="J41" s="195"/>
      <c r="K41" s="143">
        <f>SUM('Monthly Salary'!K18, 'Monthly Salary'!K19, 'Monthly Salary'!K22)</f>
        <v>0</v>
      </c>
      <c r="L41" s="211"/>
    </row>
    <row r="42" spans="1:18" ht="20.100000000000001" customHeight="1" x14ac:dyDescent="0.25">
      <c r="A42" s="199" t="s">
        <v>267</v>
      </c>
      <c r="B42" s="199"/>
      <c r="C42" s="199"/>
      <c r="D42" s="199"/>
      <c r="E42" s="199"/>
      <c r="F42" s="199"/>
      <c r="G42" s="199"/>
      <c r="H42" s="199"/>
      <c r="I42" s="199"/>
      <c r="J42" s="199"/>
      <c r="K42" s="110"/>
      <c r="L42" s="121">
        <f>SUM(K39:K41)</f>
        <v>0</v>
      </c>
    </row>
    <row r="43" spans="1:18" ht="20.100000000000001" customHeight="1" x14ac:dyDescent="0.25">
      <c r="A43" s="245"/>
      <c r="B43" s="246"/>
      <c r="C43" s="246"/>
      <c r="D43" s="246"/>
      <c r="E43" s="246"/>
      <c r="F43" s="246"/>
      <c r="G43" s="246"/>
      <c r="H43" s="246"/>
      <c r="I43" s="246"/>
      <c r="J43" s="247"/>
      <c r="K43" s="122" t="s">
        <v>192</v>
      </c>
      <c r="L43" s="122" t="s">
        <v>193</v>
      </c>
    </row>
    <row r="44" spans="1:18" ht="20.100000000000001" customHeight="1" x14ac:dyDescent="0.25">
      <c r="A44" s="98">
        <v>8</v>
      </c>
      <c r="B44" s="248" t="s">
        <v>194</v>
      </c>
      <c r="C44" s="248"/>
      <c r="D44" s="248"/>
      <c r="E44" s="248"/>
      <c r="F44" s="248"/>
      <c r="G44" s="248"/>
      <c r="H44" s="248"/>
      <c r="I44" s="248"/>
      <c r="J44" s="248"/>
      <c r="K44" s="111"/>
      <c r="L44" s="121">
        <f>IF(K44&gt;=200000,200000,K44)</f>
        <v>0</v>
      </c>
    </row>
    <row r="45" spans="1:18" ht="18" customHeight="1" x14ac:dyDescent="0.25">
      <c r="A45" s="106">
        <v>9</v>
      </c>
      <c r="B45" s="292" t="s">
        <v>152</v>
      </c>
      <c r="C45" s="255" t="s">
        <v>273</v>
      </c>
      <c r="D45" s="256"/>
      <c r="E45" s="256"/>
      <c r="F45" s="256"/>
      <c r="G45" s="256"/>
      <c r="H45" s="256"/>
      <c r="I45" s="256"/>
      <c r="J45" s="257"/>
      <c r="K45" s="110"/>
      <c r="L45" s="121">
        <f>L37+L42-L44</f>
        <v>0</v>
      </c>
    </row>
    <row r="46" spans="1:18" ht="18" customHeight="1" x14ac:dyDescent="0.25">
      <c r="A46" s="106"/>
      <c r="B46" s="292" t="s">
        <v>156</v>
      </c>
      <c r="C46" s="255" t="s">
        <v>274</v>
      </c>
      <c r="D46" s="256"/>
      <c r="E46" s="256"/>
      <c r="F46" s="256"/>
      <c r="G46" s="256"/>
      <c r="H46" s="256"/>
      <c r="I46" s="256"/>
      <c r="J46" s="257"/>
      <c r="K46" s="110"/>
      <c r="L46" s="121">
        <f>L37+L42</f>
        <v>0</v>
      </c>
    </row>
    <row r="47" spans="1:18" ht="18" customHeight="1" x14ac:dyDescent="0.25">
      <c r="A47" s="106">
        <v>10</v>
      </c>
      <c r="B47" s="242" t="s">
        <v>195</v>
      </c>
      <c r="C47" s="242"/>
      <c r="D47" s="242"/>
      <c r="E47" s="242"/>
      <c r="F47" s="242"/>
      <c r="G47" s="242"/>
      <c r="H47" s="242"/>
      <c r="I47" s="242"/>
      <c r="J47" s="242"/>
      <c r="K47" s="242"/>
      <c r="L47" s="242"/>
      <c r="R47" s="84"/>
    </row>
    <row r="48" spans="1:18" ht="18" customHeight="1" x14ac:dyDescent="0.25">
      <c r="A48" s="249" t="s">
        <v>152</v>
      </c>
      <c r="B48" s="243" t="s">
        <v>197</v>
      </c>
      <c r="C48" s="243"/>
      <c r="D48" s="243"/>
      <c r="E48" s="243"/>
      <c r="F48" s="243"/>
      <c r="G48" s="243"/>
      <c r="H48" s="243"/>
      <c r="I48" s="243"/>
      <c r="J48" s="243"/>
      <c r="K48" s="243"/>
      <c r="L48" s="243"/>
    </row>
    <row r="49" spans="1:12" ht="15" customHeight="1" x14ac:dyDescent="0.25">
      <c r="A49" s="249"/>
      <c r="B49" s="106" t="s">
        <v>171</v>
      </c>
      <c r="C49" s="193" t="s">
        <v>196</v>
      </c>
      <c r="D49" s="193"/>
      <c r="E49" s="193"/>
      <c r="F49" s="193"/>
      <c r="G49" s="193"/>
      <c r="H49" s="193"/>
      <c r="I49" s="193"/>
      <c r="J49" s="193"/>
      <c r="K49" s="103">
        <f>'Monthly Salary'!L17</f>
        <v>0</v>
      </c>
      <c r="L49" s="253"/>
    </row>
    <row r="50" spans="1:12" ht="15" customHeight="1" x14ac:dyDescent="0.25">
      <c r="A50" s="249"/>
      <c r="B50" s="106" t="s">
        <v>173</v>
      </c>
      <c r="C50" s="195" t="s">
        <v>198</v>
      </c>
      <c r="D50" s="195"/>
      <c r="E50" s="195"/>
      <c r="F50" s="195"/>
      <c r="G50" s="195"/>
      <c r="H50" s="195"/>
      <c r="I50" s="195"/>
      <c r="J50" s="195"/>
      <c r="K50" s="188">
        <f>'Monthly Salary'!M17</f>
        <v>0</v>
      </c>
      <c r="L50" s="253"/>
    </row>
    <row r="51" spans="1:12" ht="15" customHeight="1" x14ac:dyDescent="0.25">
      <c r="A51" s="249"/>
      <c r="B51" s="106" t="s">
        <v>175</v>
      </c>
      <c r="C51" s="195" t="s">
        <v>199</v>
      </c>
      <c r="D51" s="195"/>
      <c r="E51" s="195"/>
      <c r="F51" s="195"/>
      <c r="G51" s="195"/>
      <c r="H51" s="195"/>
      <c r="I51" s="195"/>
      <c r="J51" s="195"/>
      <c r="K51" s="189"/>
      <c r="L51" s="253"/>
    </row>
    <row r="52" spans="1:12" ht="15" customHeight="1" x14ac:dyDescent="0.25">
      <c r="A52" s="249"/>
      <c r="B52" s="106" t="s">
        <v>200</v>
      </c>
      <c r="C52" s="195" t="s">
        <v>201</v>
      </c>
      <c r="D52" s="195"/>
      <c r="E52" s="195"/>
      <c r="F52" s="195"/>
      <c r="G52" s="195"/>
      <c r="H52" s="195"/>
      <c r="I52" s="195"/>
      <c r="J52" s="195"/>
      <c r="K52" s="111"/>
      <c r="L52" s="253"/>
    </row>
    <row r="53" spans="1:12" ht="15" customHeight="1" x14ac:dyDescent="0.25">
      <c r="A53" s="249"/>
      <c r="B53" s="106" t="s">
        <v>202</v>
      </c>
      <c r="C53" s="195" t="s">
        <v>203</v>
      </c>
      <c r="D53" s="195"/>
      <c r="E53" s="195"/>
      <c r="F53" s="195"/>
      <c r="G53" s="195"/>
      <c r="H53" s="195"/>
      <c r="I53" s="195"/>
      <c r="J53" s="195"/>
      <c r="K53" s="103">
        <f>Form!H15</f>
        <v>0</v>
      </c>
      <c r="L53" s="253"/>
    </row>
    <row r="54" spans="1:12" ht="15" customHeight="1" x14ac:dyDescent="0.25">
      <c r="A54" s="249"/>
      <c r="B54" s="106" t="s">
        <v>204</v>
      </c>
      <c r="C54" s="195" t="s">
        <v>205</v>
      </c>
      <c r="D54" s="195"/>
      <c r="E54" s="195"/>
      <c r="F54" s="195"/>
      <c r="G54" s="195"/>
      <c r="H54" s="195"/>
      <c r="I54" s="195"/>
      <c r="J54" s="195"/>
      <c r="K54" s="103">
        <f>'Monthly Salary'!N17</f>
        <v>0</v>
      </c>
      <c r="L54" s="253"/>
    </row>
    <row r="55" spans="1:12" ht="15" customHeight="1" x14ac:dyDescent="0.25">
      <c r="A55" s="249"/>
      <c r="B55" s="106" t="s">
        <v>206</v>
      </c>
      <c r="C55" s="195" t="s">
        <v>207</v>
      </c>
      <c r="D55" s="195"/>
      <c r="E55" s="195"/>
      <c r="F55" s="195"/>
      <c r="G55" s="195"/>
      <c r="H55" s="195"/>
      <c r="I55" s="195"/>
      <c r="J55" s="195"/>
      <c r="K55" s="111"/>
      <c r="L55" s="253"/>
    </row>
    <row r="56" spans="1:12" ht="15" customHeight="1" x14ac:dyDescent="0.25">
      <c r="A56" s="249"/>
      <c r="B56" s="106" t="s">
        <v>208</v>
      </c>
      <c r="C56" s="195" t="s">
        <v>209</v>
      </c>
      <c r="D56" s="195"/>
      <c r="E56" s="195"/>
      <c r="F56" s="195"/>
      <c r="G56" s="195"/>
      <c r="H56" s="195"/>
      <c r="I56" s="195"/>
      <c r="J56" s="195"/>
      <c r="K56" s="103">
        <f>IF(('Monthly Salary'!R23-'IT statement'!L44)&gt;0, 'Monthly Salary'!R23-'IT statement'!L44, 0)</f>
        <v>0</v>
      </c>
      <c r="L56" s="253"/>
    </row>
    <row r="57" spans="1:12" ht="15" customHeight="1" x14ac:dyDescent="0.25">
      <c r="A57" s="249"/>
      <c r="B57" s="106" t="s">
        <v>210</v>
      </c>
      <c r="C57" s="195" t="s">
        <v>211</v>
      </c>
      <c r="D57" s="195"/>
      <c r="E57" s="195"/>
      <c r="F57" s="195"/>
      <c r="G57" s="195"/>
      <c r="H57" s="195"/>
      <c r="I57" s="195"/>
      <c r="J57" s="195"/>
      <c r="K57" s="111"/>
      <c r="L57" s="253"/>
    </row>
    <row r="58" spans="1:12" ht="27" customHeight="1" x14ac:dyDescent="0.25">
      <c r="A58" s="249"/>
      <c r="B58" s="106" t="s">
        <v>212</v>
      </c>
      <c r="C58" s="193" t="s">
        <v>213</v>
      </c>
      <c r="D58" s="193"/>
      <c r="E58" s="193"/>
      <c r="F58" s="193"/>
      <c r="G58" s="193"/>
      <c r="H58" s="193"/>
      <c r="I58" s="193"/>
      <c r="J58" s="193"/>
      <c r="K58" s="111"/>
      <c r="L58" s="253"/>
    </row>
    <row r="59" spans="1:12" ht="15" customHeight="1" x14ac:dyDescent="0.25">
      <c r="A59" s="249"/>
      <c r="B59" s="106" t="s">
        <v>214</v>
      </c>
      <c r="C59" s="195" t="s">
        <v>33</v>
      </c>
      <c r="D59" s="195"/>
      <c r="E59" s="195"/>
      <c r="F59" s="195"/>
      <c r="G59" s="195"/>
      <c r="H59" s="195"/>
      <c r="I59" s="195"/>
      <c r="J59" s="195"/>
      <c r="K59" s="111"/>
      <c r="L59" s="253"/>
    </row>
    <row r="60" spans="1:12" ht="15" customHeight="1" x14ac:dyDescent="0.25">
      <c r="A60" s="249"/>
      <c r="B60" s="254" t="s">
        <v>217</v>
      </c>
      <c r="C60" s="254"/>
      <c r="D60" s="254"/>
      <c r="E60" s="254"/>
      <c r="F60" s="254"/>
      <c r="G60" s="254"/>
      <c r="H60" s="254"/>
      <c r="I60" s="254"/>
      <c r="J60" s="254"/>
      <c r="K60" s="123">
        <f>SUM(K49:K59)</f>
        <v>0</v>
      </c>
      <c r="L60" s="253"/>
    </row>
    <row r="61" spans="1:12" ht="30.95" customHeight="1" x14ac:dyDescent="0.25">
      <c r="A61" s="124" t="s">
        <v>156</v>
      </c>
      <c r="B61" s="251" t="s">
        <v>216</v>
      </c>
      <c r="C61" s="251"/>
      <c r="D61" s="251"/>
      <c r="E61" s="251"/>
      <c r="F61" s="251"/>
      <c r="G61" s="251"/>
      <c r="H61" s="251"/>
      <c r="I61" s="251"/>
      <c r="J61" s="251"/>
      <c r="K61" s="112"/>
      <c r="L61" s="253"/>
    </row>
    <row r="62" spans="1:12" ht="32.1" customHeight="1" x14ac:dyDescent="0.25">
      <c r="A62" s="124" t="s">
        <v>159</v>
      </c>
      <c r="B62" s="251" t="s">
        <v>218</v>
      </c>
      <c r="C62" s="251"/>
      <c r="D62" s="251"/>
      <c r="E62" s="251"/>
      <c r="F62" s="251"/>
      <c r="G62" s="251"/>
      <c r="H62" s="251"/>
      <c r="I62" s="251"/>
      <c r="J62" s="251"/>
      <c r="K62" s="125"/>
      <c r="L62" s="253"/>
    </row>
    <row r="63" spans="1:12" ht="30" customHeight="1" x14ac:dyDescent="0.25">
      <c r="A63" s="124" t="s">
        <v>160</v>
      </c>
      <c r="B63" s="228" t="s">
        <v>219</v>
      </c>
      <c r="C63" s="228"/>
      <c r="D63" s="228"/>
      <c r="E63" s="228"/>
      <c r="F63" s="228"/>
      <c r="G63" s="228"/>
      <c r="H63" s="228"/>
      <c r="I63" s="228"/>
      <c r="J63" s="228"/>
      <c r="K63" s="126"/>
      <c r="L63" s="118">
        <f>IF(SUM(K62,K61,K60)&gt;=150000,150000,SUM(K62,K61,K60))</f>
        <v>0</v>
      </c>
    </row>
    <row r="64" spans="1:12" ht="18.95" customHeight="1" x14ac:dyDescent="0.25">
      <c r="A64" s="124" t="s">
        <v>168</v>
      </c>
      <c r="B64" s="252" t="s">
        <v>220</v>
      </c>
      <c r="C64" s="252"/>
      <c r="D64" s="252"/>
      <c r="E64" s="252"/>
      <c r="F64" s="252"/>
      <c r="G64" s="252"/>
      <c r="H64" s="252"/>
      <c r="I64" s="252"/>
      <c r="J64" s="252"/>
      <c r="K64" s="111"/>
      <c r="L64" s="127">
        <f>K64</f>
        <v>0</v>
      </c>
    </row>
    <row r="65" spans="1:12" ht="20.100000000000001" customHeight="1" x14ac:dyDescent="0.25">
      <c r="A65" s="124" t="s">
        <v>178</v>
      </c>
      <c r="B65" s="128" t="s">
        <v>221</v>
      </c>
      <c r="C65" s="128"/>
      <c r="D65" s="128"/>
      <c r="E65" s="128"/>
      <c r="F65" s="128"/>
      <c r="G65" s="128"/>
      <c r="H65" s="128"/>
      <c r="I65" s="128"/>
      <c r="J65" s="128"/>
      <c r="K65" s="111"/>
      <c r="L65" s="127">
        <f>K65</f>
        <v>0</v>
      </c>
    </row>
    <row r="66" spans="1:12" ht="47.1" customHeight="1" x14ac:dyDescent="0.25">
      <c r="A66" s="124" t="s">
        <v>180</v>
      </c>
      <c r="B66" s="228" t="s">
        <v>222</v>
      </c>
      <c r="C66" s="228"/>
      <c r="D66" s="228"/>
      <c r="E66" s="228"/>
      <c r="F66" s="228"/>
      <c r="G66" s="228"/>
      <c r="H66" s="228"/>
      <c r="I66" s="228"/>
      <c r="J66" s="228"/>
      <c r="K66" s="111"/>
      <c r="L66" s="127">
        <f>IF(K66&gt;=50000,50000,K66)</f>
        <v>0</v>
      </c>
    </row>
    <row r="67" spans="1:12" ht="39.950000000000003" customHeight="1" x14ac:dyDescent="0.25">
      <c r="A67" s="124" t="s">
        <v>182</v>
      </c>
      <c r="B67" s="228" t="s">
        <v>226</v>
      </c>
      <c r="C67" s="228"/>
      <c r="D67" s="228"/>
      <c r="E67" s="228"/>
      <c r="F67" s="228"/>
      <c r="G67" s="228"/>
      <c r="H67" s="228"/>
      <c r="I67" s="228"/>
      <c r="J67" s="228"/>
      <c r="K67" s="111"/>
      <c r="L67" s="127">
        <f>K67</f>
        <v>0</v>
      </c>
    </row>
    <row r="68" spans="1:12" ht="30" customHeight="1" x14ac:dyDescent="0.25">
      <c r="A68" s="124" t="s">
        <v>171</v>
      </c>
      <c r="B68" s="258" t="s">
        <v>223</v>
      </c>
      <c r="C68" s="258"/>
      <c r="D68" s="258"/>
      <c r="E68" s="258"/>
      <c r="F68" s="258"/>
      <c r="G68" s="258"/>
      <c r="H68" s="258"/>
      <c r="I68" s="258"/>
      <c r="J68" s="258"/>
      <c r="K68" s="111"/>
      <c r="L68" s="127">
        <f>K68</f>
        <v>0</v>
      </c>
    </row>
    <row r="69" spans="1:12" ht="27.95" customHeight="1" x14ac:dyDescent="0.25">
      <c r="A69" s="124" t="s">
        <v>224</v>
      </c>
      <c r="B69" s="228" t="s">
        <v>225</v>
      </c>
      <c r="C69" s="228"/>
      <c r="D69" s="228"/>
      <c r="E69" s="228"/>
      <c r="F69" s="228"/>
      <c r="G69" s="228"/>
      <c r="H69" s="228"/>
      <c r="I69" s="228"/>
      <c r="J69" s="228"/>
      <c r="K69" s="111"/>
      <c r="L69" s="127">
        <f>IF(K69&gt;=10000,10000,K69)</f>
        <v>0</v>
      </c>
    </row>
    <row r="70" spans="1:12" x14ac:dyDescent="0.25">
      <c r="A70" s="124" t="s">
        <v>227</v>
      </c>
      <c r="B70" s="252" t="s">
        <v>228</v>
      </c>
      <c r="C70" s="252"/>
      <c r="D70" s="252"/>
      <c r="E70" s="252"/>
      <c r="F70" s="252"/>
      <c r="G70" s="252"/>
      <c r="H70" s="252"/>
      <c r="I70" s="252"/>
      <c r="J70" s="252"/>
      <c r="K70" s="252"/>
      <c r="L70" s="252"/>
    </row>
    <row r="71" spans="1:12" ht="29.1" customHeight="1" x14ac:dyDescent="0.25">
      <c r="A71" s="128"/>
      <c r="B71" s="124" t="s">
        <v>152</v>
      </c>
      <c r="C71" s="258" t="s">
        <v>229</v>
      </c>
      <c r="D71" s="258"/>
      <c r="E71" s="258"/>
      <c r="F71" s="258"/>
      <c r="G71" s="258"/>
      <c r="H71" s="258"/>
      <c r="I71" s="258"/>
      <c r="J71" s="258"/>
      <c r="K71" s="111"/>
      <c r="L71" s="120">
        <f>IF(K71&gt;=125000,125000,K71)</f>
        <v>0</v>
      </c>
    </row>
    <row r="72" spans="1:12" ht="51" customHeight="1" x14ac:dyDescent="0.25">
      <c r="A72" s="128"/>
      <c r="B72" s="124" t="s">
        <v>156</v>
      </c>
      <c r="C72" s="228" t="s">
        <v>230</v>
      </c>
      <c r="D72" s="228"/>
      <c r="E72" s="228"/>
      <c r="F72" s="228"/>
      <c r="G72" s="228"/>
      <c r="H72" s="228"/>
      <c r="I72" s="228"/>
      <c r="J72" s="228"/>
      <c r="K72" s="111"/>
      <c r="L72" s="120">
        <f>IF(K72&gt;=50000,50000,K72)</f>
        <v>0</v>
      </c>
    </row>
    <row r="73" spans="1:12" ht="17.45" customHeight="1" x14ac:dyDescent="0.25">
      <c r="A73" s="128"/>
      <c r="B73" s="128" t="s">
        <v>159</v>
      </c>
      <c r="C73" s="252" t="s">
        <v>231</v>
      </c>
      <c r="D73" s="252"/>
      <c r="E73" s="252"/>
      <c r="F73" s="252"/>
      <c r="G73" s="252"/>
      <c r="H73" s="252"/>
      <c r="I73" s="252"/>
      <c r="J73" s="252"/>
      <c r="K73" s="111"/>
      <c r="L73" s="120">
        <f>IF(Form!C24="YES",(IF(K73&gt;=50000,50000,K73)),0)</f>
        <v>0</v>
      </c>
    </row>
    <row r="74" spans="1:12" ht="30.95" customHeight="1" x14ac:dyDescent="0.25">
      <c r="A74" s="128"/>
      <c r="B74" s="124" t="s">
        <v>160</v>
      </c>
      <c r="C74" s="228" t="s">
        <v>232</v>
      </c>
      <c r="D74" s="228"/>
      <c r="E74" s="228"/>
      <c r="F74" s="228"/>
      <c r="G74" s="228"/>
      <c r="H74" s="228"/>
      <c r="I74" s="228"/>
      <c r="J74" s="228"/>
      <c r="K74" s="111"/>
      <c r="L74" s="120">
        <f>IF(Form!C25="YES",(IF(K74&gt;=100000,100000,K74)),IF(K74&gt;=40000, 40000,0))</f>
        <v>0</v>
      </c>
    </row>
    <row r="75" spans="1:12" ht="41.1" customHeight="1" x14ac:dyDescent="0.25">
      <c r="A75" s="128"/>
      <c r="B75" s="124" t="s">
        <v>168</v>
      </c>
      <c r="C75" s="228" t="s">
        <v>233</v>
      </c>
      <c r="D75" s="228"/>
      <c r="E75" s="228"/>
      <c r="F75" s="228"/>
      <c r="G75" s="228"/>
      <c r="H75" s="228"/>
      <c r="I75" s="228"/>
      <c r="J75" s="228"/>
      <c r="K75" s="111"/>
      <c r="L75" s="120">
        <f>IF(K75&gt;=125000,125000,K75)</f>
        <v>0</v>
      </c>
    </row>
    <row r="76" spans="1:12" ht="18.75" customHeight="1" x14ac:dyDescent="0.25">
      <c r="A76" s="128" t="s">
        <v>234</v>
      </c>
      <c r="B76" s="259" t="s">
        <v>235</v>
      </c>
      <c r="C76" s="259"/>
      <c r="D76" s="259"/>
      <c r="E76" s="259"/>
      <c r="F76" s="259"/>
      <c r="G76" s="259"/>
      <c r="H76" s="259"/>
      <c r="I76" s="259"/>
      <c r="J76" s="259"/>
      <c r="K76" s="260"/>
      <c r="L76" s="120">
        <f>SUM(L71:L75)</f>
        <v>0</v>
      </c>
    </row>
    <row r="77" spans="1:12" ht="19.5" customHeight="1" x14ac:dyDescent="0.25">
      <c r="A77" s="128" t="s">
        <v>236</v>
      </c>
      <c r="B77" s="259" t="s">
        <v>237</v>
      </c>
      <c r="C77" s="259"/>
      <c r="D77" s="259"/>
      <c r="E77" s="259"/>
      <c r="F77" s="259"/>
      <c r="G77" s="259"/>
      <c r="H77" s="259"/>
      <c r="I77" s="259"/>
      <c r="J77" s="259"/>
      <c r="K77" s="260"/>
      <c r="L77" s="120">
        <f>SUM(L76,L69,L68,L67,L66,L65,L64,L63)</f>
        <v>0</v>
      </c>
    </row>
    <row r="78" spans="1:12" ht="19.5" customHeight="1" x14ac:dyDescent="0.25">
      <c r="A78" s="135">
        <v>11</v>
      </c>
      <c r="B78" s="262" t="s">
        <v>238</v>
      </c>
      <c r="C78" s="263"/>
      <c r="D78" s="263"/>
      <c r="E78" s="263"/>
      <c r="F78" s="263"/>
      <c r="G78" s="263"/>
      <c r="H78" s="263"/>
      <c r="I78" s="263"/>
      <c r="J78" s="264"/>
      <c r="K78" s="260"/>
      <c r="L78" s="120">
        <f>ROUND((L45-L77),10)</f>
        <v>0</v>
      </c>
    </row>
    <row r="79" spans="1:12" x14ac:dyDescent="0.25">
      <c r="A79" s="249">
        <v>12</v>
      </c>
      <c r="B79" s="114" t="s">
        <v>152</v>
      </c>
      <c r="C79" s="265" t="s">
        <v>239</v>
      </c>
      <c r="D79" s="265"/>
      <c r="E79" s="265"/>
      <c r="F79" s="265"/>
      <c r="G79" s="265"/>
      <c r="H79" s="265"/>
      <c r="I79" s="265"/>
      <c r="J79" s="265"/>
      <c r="K79" s="129"/>
      <c r="L79" s="115">
        <f>IF(Form!C24="NO", (IF((L78&lt;=250000),0, IF(AND((L78&gt;250000),(L78&lt;=500000)),(L78-250000)*0.05, IF(AND((L78&gt;500000),(L78&lt;=1000000)),(12500+((L78-500000)*0.2)),(112500+(L78-1000000)*0.3))))), IF((L78&lt;=300000),0, IF(AND((L78&gt;300000),(L78&lt;=500000)),(L78-300000)*0.05, IF(AND((L78&gt;500000),(L78&lt;=1000000)),(10000+((L78-500000)*0.2)),(110000+(L78-1000000)*0.3)))))</f>
        <v>0</v>
      </c>
    </row>
    <row r="80" spans="1:12" x14ac:dyDescent="0.25">
      <c r="A80" s="249"/>
      <c r="B80" s="267"/>
      <c r="C80" s="261" t="s">
        <v>6</v>
      </c>
      <c r="D80" s="266" t="s">
        <v>132</v>
      </c>
      <c r="E80" s="266"/>
      <c r="F80" s="266"/>
      <c r="G80" s="266"/>
      <c r="H80" s="266"/>
      <c r="I80" s="267"/>
      <c r="J80" s="267"/>
      <c r="K80" s="267"/>
      <c r="L80" s="267"/>
    </row>
    <row r="81" spans="1:12" x14ac:dyDescent="0.25">
      <c r="A81" s="249"/>
      <c r="B81" s="267"/>
      <c r="C81" s="261"/>
      <c r="D81" s="266" t="s">
        <v>131</v>
      </c>
      <c r="E81" s="266"/>
      <c r="F81" s="114"/>
      <c r="G81" s="266" t="s">
        <v>7</v>
      </c>
      <c r="H81" s="266"/>
      <c r="I81" s="267"/>
      <c r="J81" s="267"/>
      <c r="K81" s="267"/>
      <c r="L81" s="267"/>
    </row>
    <row r="82" spans="1:12" x14ac:dyDescent="0.25">
      <c r="A82" s="249"/>
      <c r="B82" s="267"/>
      <c r="C82" s="130" t="s">
        <v>240</v>
      </c>
      <c r="D82" s="269" t="s">
        <v>8</v>
      </c>
      <c r="E82" s="269"/>
      <c r="F82" s="131"/>
      <c r="G82" s="269" t="s">
        <v>8</v>
      </c>
      <c r="H82" s="269"/>
      <c r="I82" s="267"/>
      <c r="J82" s="267"/>
      <c r="K82" s="267"/>
      <c r="L82" s="267"/>
    </row>
    <row r="83" spans="1:12" x14ac:dyDescent="0.25">
      <c r="A83" s="249"/>
      <c r="B83" s="267"/>
      <c r="C83" s="130" t="s">
        <v>268</v>
      </c>
      <c r="D83" s="268">
        <v>0.05</v>
      </c>
      <c r="E83" s="269"/>
      <c r="F83" s="131"/>
      <c r="G83" s="269" t="s">
        <v>8</v>
      </c>
      <c r="H83" s="269"/>
      <c r="I83" s="267"/>
      <c r="J83" s="267"/>
      <c r="K83" s="267"/>
      <c r="L83" s="267"/>
    </row>
    <row r="84" spans="1:12" x14ac:dyDescent="0.25">
      <c r="A84" s="249"/>
      <c r="B84" s="267"/>
      <c r="C84" s="130" t="s">
        <v>269</v>
      </c>
      <c r="D84" s="268">
        <v>0.05</v>
      </c>
      <c r="E84" s="268"/>
      <c r="F84" s="131"/>
      <c r="G84" s="268">
        <v>0.05</v>
      </c>
      <c r="H84" s="268"/>
      <c r="I84" s="267"/>
      <c r="J84" s="267"/>
      <c r="K84" s="267"/>
      <c r="L84" s="267"/>
    </row>
    <row r="85" spans="1:12" ht="15.95" customHeight="1" x14ac:dyDescent="0.25">
      <c r="A85" s="249"/>
      <c r="B85" s="267"/>
      <c r="C85" s="130" t="s">
        <v>241</v>
      </c>
      <c r="D85" s="269" t="s">
        <v>136</v>
      </c>
      <c r="E85" s="269"/>
      <c r="F85" s="131"/>
      <c r="G85" s="269" t="s">
        <v>135</v>
      </c>
      <c r="H85" s="269"/>
      <c r="I85" s="267"/>
      <c r="J85" s="267"/>
      <c r="K85" s="267"/>
      <c r="L85" s="267"/>
    </row>
    <row r="86" spans="1:12" ht="15" customHeight="1" x14ac:dyDescent="0.25">
      <c r="A86" s="249"/>
      <c r="B86" s="267"/>
      <c r="C86" s="132" t="s">
        <v>242</v>
      </c>
      <c r="D86" s="269" t="s">
        <v>137</v>
      </c>
      <c r="E86" s="269"/>
      <c r="F86" s="133"/>
      <c r="G86" s="269" t="s">
        <v>138</v>
      </c>
      <c r="H86" s="269"/>
      <c r="I86" s="267"/>
      <c r="J86" s="267"/>
      <c r="K86" s="267"/>
      <c r="L86" s="267"/>
    </row>
    <row r="87" spans="1:12" ht="15" customHeight="1" x14ac:dyDescent="0.25">
      <c r="A87" s="249"/>
      <c r="B87" s="114" t="s">
        <v>156</v>
      </c>
      <c r="C87" s="265" t="s">
        <v>243</v>
      </c>
      <c r="D87" s="265"/>
      <c r="E87" s="265"/>
      <c r="F87" s="265"/>
      <c r="G87" s="265"/>
      <c r="H87" s="265"/>
      <c r="I87" s="265"/>
      <c r="J87" s="265"/>
      <c r="K87" s="129"/>
      <c r="L87" s="115">
        <f>IF((L46&lt;=300000),0, IF(AND((L46&gt;300000),(L46&lt;=600000)),(L46-300000)*0.05, IF(AND((L46&gt;600000),(L46&lt;=900000)),(15000+(L46-600000)*0.1), IF(AND((L46&gt;900000),(L46&lt;=1200000)),(45000+(L46-900000)*0.15), IF(AND((L46&gt;1200000),(L46&lt;=1500000)),(90000+(L46-1200000)*0.2), (150000+(L46-1500000)*0.3))))))</f>
        <v>0</v>
      </c>
    </row>
    <row r="88" spans="1:12" ht="15" customHeight="1" x14ac:dyDescent="0.25">
      <c r="A88" s="249"/>
      <c r="B88" s="267"/>
      <c r="C88" s="261" t="s">
        <v>6</v>
      </c>
      <c r="D88" s="266" t="s">
        <v>133</v>
      </c>
      <c r="E88" s="266"/>
      <c r="F88" s="266"/>
      <c r="G88" s="266"/>
      <c r="H88" s="266"/>
      <c r="I88" s="267"/>
      <c r="J88" s="267"/>
      <c r="K88" s="267"/>
      <c r="L88" s="267"/>
    </row>
    <row r="89" spans="1:12" ht="17.100000000000001" customHeight="1" x14ac:dyDescent="0.25">
      <c r="A89" s="249"/>
      <c r="B89" s="267"/>
      <c r="C89" s="261"/>
      <c r="D89" s="266" t="s">
        <v>131</v>
      </c>
      <c r="E89" s="266"/>
      <c r="F89" s="114"/>
      <c r="G89" s="266" t="s">
        <v>7</v>
      </c>
      <c r="H89" s="266"/>
      <c r="I89" s="267"/>
      <c r="J89" s="267"/>
      <c r="K89" s="267"/>
      <c r="L89" s="267"/>
    </row>
    <row r="90" spans="1:12" x14ac:dyDescent="0.25">
      <c r="A90" s="249"/>
      <c r="B90" s="267"/>
      <c r="C90" s="130" t="s">
        <v>244</v>
      </c>
      <c r="D90" s="269" t="s">
        <v>8</v>
      </c>
      <c r="E90" s="269"/>
      <c r="F90" s="131"/>
      <c r="G90" s="269" t="s">
        <v>8</v>
      </c>
      <c r="H90" s="269"/>
      <c r="I90" s="267"/>
      <c r="J90" s="267"/>
      <c r="K90" s="267"/>
      <c r="L90" s="267"/>
    </row>
    <row r="91" spans="1:12" x14ac:dyDescent="0.25">
      <c r="A91" s="249"/>
      <c r="B91" s="267"/>
      <c r="C91" s="130" t="s">
        <v>245</v>
      </c>
      <c r="D91" s="268">
        <v>0.05</v>
      </c>
      <c r="E91" s="268"/>
      <c r="F91" s="131"/>
      <c r="G91" s="268">
        <v>0.05</v>
      </c>
      <c r="H91" s="268"/>
      <c r="I91" s="267"/>
      <c r="J91" s="267"/>
      <c r="K91" s="267"/>
      <c r="L91" s="267"/>
    </row>
    <row r="92" spans="1:12" x14ac:dyDescent="0.25">
      <c r="A92" s="249"/>
      <c r="B92" s="267"/>
      <c r="C92" s="130" t="s">
        <v>246</v>
      </c>
      <c r="D92" s="269" t="s">
        <v>249</v>
      </c>
      <c r="E92" s="269"/>
      <c r="F92" s="131"/>
      <c r="G92" s="269" t="s">
        <v>249</v>
      </c>
      <c r="H92" s="269"/>
      <c r="I92" s="267"/>
      <c r="J92" s="267"/>
      <c r="K92" s="267"/>
      <c r="L92" s="267"/>
    </row>
    <row r="93" spans="1:12" x14ac:dyDescent="0.25">
      <c r="A93" s="249"/>
      <c r="B93" s="267"/>
      <c r="C93" s="132" t="s">
        <v>247</v>
      </c>
      <c r="D93" s="269" t="s">
        <v>250</v>
      </c>
      <c r="E93" s="269"/>
      <c r="F93" s="133"/>
      <c r="G93" s="269" t="s">
        <v>250</v>
      </c>
      <c r="H93" s="269"/>
      <c r="I93" s="267"/>
      <c r="J93" s="267"/>
      <c r="K93" s="267"/>
      <c r="L93" s="267"/>
    </row>
    <row r="94" spans="1:12" x14ac:dyDescent="0.25">
      <c r="A94" s="249"/>
      <c r="B94" s="267"/>
      <c r="C94" s="132" t="s">
        <v>248</v>
      </c>
      <c r="D94" s="269" t="s">
        <v>251</v>
      </c>
      <c r="E94" s="269"/>
      <c r="F94" s="133"/>
      <c r="G94" s="269" t="s">
        <v>251</v>
      </c>
      <c r="H94" s="269"/>
      <c r="I94" s="267"/>
      <c r="J94" s="267"/>
      <c r="K94" s="267"/>
      <c r="L94" s="267"/>
    </row>
    <row r="95" spans="1:12" x14ac:dyDescent="0.25">
      <c r="A95" s="249"/>
      <c r="B95" s="267"/>
      <c r="C95" s="132" t="s">
        <v>134</v>
      </c>
      <c r="D95" s="269" t="s">
        <v>252</v>
      </c>
      <c r="E95" s="269"/>
      <c r="F95" s="133"/>
      <c r="G95" s="269" t="s">
        <v>252</v>
      </c>
      <c r="H95" s="269"/>
      <c r="I95" s="267"/>
      <c r="J95" s="267"/>
      <c r="K95" s="267"/>
      <c r="L95" s="267"/>
    </row>
    <row r="96" spans="1:12" ht="29.1" customHeight="1" x14ac:dyDescent="0.25">
      <c r="A96" s="106">
        <v>13</v>
      </c>
      <c r="B96" s="270" t="s">
        <v>253</v>
      </c>
      <c r="C96" s="270"/>
      <c r="D96" s="270"/>
      <c r="E96" s="270"/>
      <c r="F96" s="270"/>
      <c r="G96" s="270"/>
      <c r="H96" s="270"/>
      <c r="I96" s="270"/>
      <c r="J96" s="270"/>
      <c r="K96" s="214"/>
      <c r="L96" s="134">
        <f>IF(AND((L78&lt;=700000),(L45&lt;=700000)), MIN((IF(L78=0,0, IF(AND(L78&lt;=700000,L79&lt;25000), L79, 25000))),(IF(L45=0,0, IF(AND(L45&lt;=700000,L87&lt;25000), L87, 25000)))),0)</f>
        <v>0</v>
      </c>
    </row>
    <row r="97" spans="1:12" x14ac:dyDescent="0.25">
      <c r="A97" s="136">
        <v>14</v>
      </c>
      <c r="B97" s="265" t="s">
        <v>254</v>
      </c>
      <c r="C97" s="265"/>
      <c r="D97" s="265"/>
      <c r="E97" s="265"/>
      <c r="F97" s="265"/>
      <c r="G97" s="265"/>
      <c r="H97" s="265"/>
      <c r="I97" s="265"/>
      <c r="J97" s="265"/>
      <c r="K97" s="215"/>
      <c r="L97" s="115">
        <f>MIN(IF((L79-L96)&lt;=0,0,(L79-L96)),(IF((L87-L96)&lt;=0,0,(L87-L96))))</f>
        <v>0</v>
      </c>
    </row>
    <row r="98" spans="1:12" x14ac:dyDescent="0.25">
      <c r="A98" s="136">
        <v>15</v>
      </c>
      <c r="B98" s="243" t="s">
        <v>255</v>
      </c>
      <c r="C98" s="243"/>
      <c r="D98" s="243"/>
      <c r="E98" s="243"/>
      <c r="F98" s="243"/>
      <c r="G98" s="243"/>
      <c r="H98" s="243"/>
      <c r="I98" s="243"/>
      <c r="J98" s="243"/>
      <c r="K98" s="215"/>
      <c r="L98" s="113">
        <f>L97*4%</f>
        <v>0</v>
      </c>
    </row>
    <row r="99" spans="1:12" x14ac:dyDescent="0.25">
      <c r="A99" s="136">
        <v>16</v>
      </c>
      <c r="B99" s="271" t="s">
        <v>256</v>
      </c>
      <c r="C99" s="272"/>
      <c r="D99" s="272"/>
      <c r="E99" s="272"/>
      <c r="F99" s="272"/>
      <c r="G99" s="272"/>
      <c r="H99" s="272"/>
      <c r="I99" s="272"/>
      <c r="J99" s="273"/>
      <c r="K99" s="215"/>
      <c r="L99" s="111"/>
    </row>
    <row r="100" spans="1:12" x14ac:dyDescent="0.25">
      <c r="A100" s="136">
        <v>17</v>
      </c>
      <c r="B100" s="265" t="s">
        <v>257</v>
      </c>
      <c r="C100" s="265"/>
      <c r="D100" s="265"/>
      <c r="E100" s="265"/>
      <c r="F100" s="265"/>
      <c r="G100" s="265"/>
      <c r="H100" s="265"/>
      <c r="I100" s="265"/>
      <c r="J100" s="265"/>
      <c r="K100" s="215"/>
      <c r="L100" s="115">
        <f>ROUND((L97+L98-L99),0)</f>
        <v>0</v>
      </c>
    </row>
    <row r="101" spans="1:12" x14ac:dyDescent="0.25">
      <c r="A101" s="249">
        <v>18</v>
      </c>
      <c r="B101" s="285" t="s">
        <v>10</v>
      </c>
      <c r="C101" s="286"/>
      <c r="D101" s="286"/>
      <c r="E101" s="286"/>
      <c r="F101" s="286"/>
      <c r="G101" s="286"/>
      <c r="H101" s="286"/>
      <c r="I101" s="286"/>
      <c r="J101" s="287"/>
      <c r="K101" s="215"/>
      <c r="L101" s="115">
        <f>SUM(D102:D107)+SUM(J102:J104)</f>
        <v>0</v>
      </c>
    </row>
    <row r="102" spans="1:12" x14ac:dyDescent="0.25">
      <c r="A102" s="249"/>
      <c r="B102" s="278" t="str">
        <f>CONCATENATE("March",", ", Form!$C$3)</f>
        <v>March, 2023</v>
      </c>
      <c r="C102" s="279"/>
      <c r="D102" s="280">
        <f>'Monthly Salary'!S5</f>
        <v>0</v>
      </c>
      <c r="E102" s="281"/>
      <c r="F102" s="114"/>
      <c r="G102" s="274" t="str">
        <f>CONCATENATE("September",", ", Form!$C$3)</f>
        <v>September, 2023</v>
      </c>
      <c r="H102" s="274"/>
      <c r="I102" s="114"/>
      <c r="J102" s="115">
        <f>'Monthly Salary'!S11</f>
        <v>0</v>
      </c>
      <c r="K102" s="215"/>
      <c r="L102" s="214"/>
    </row>
    <row r="103" spans="1:12" x14ac:dyDescent="0.25">
      <c r="A103" s="249"/>
      <c r="B103" s="278" t="str">
        <f>CONCATENATE("April",", ", Form!$C$3)</f>
        <v>April, 2023</v>
      </c>
      <c r="C103" s="279"/>
      <c r="D103" s="280">
        <f>'Monthly Salary'!S6</f>
        <v>0</v>
      </c>
      <c r="E103" s="281"/>
      <c r="F103" s="114"/>
      <c r="G103" s="274" t="str">
        <f>CONCATENATE("October",", ", Form!$C$3)</f>
        <v>October, 2023</v>
      </c>
      <c r="H103" s="274"/>
      <c r="I103" s="114"/>
      <c r="J103" s="115">
        <f>'Monthly Salary'!S12</f>
        <v>0</v>
      </c>
      <c r="K103" s="215"/>
      <c r="L103" s="215"/>
    </row>
    <row r="104" spans="1:12" x14ac:dyDescent="0.25">
      <c r="A104" s="249"/>
      <c r="B104" s="278" t="str">
        <f>CONCATENATE("May",", ", Form!$C$3)</f>
        <v>May, 2023</v>
      </c>
      <c r="C104" s="279"/>
      <c r="D104" s="280">
        <f>'Monthly Salary'!S7</f>
        <v>0</v>
      </c>
      <c r="E104" s="281"/>
      <c r="F104" s="114"/>
      <c r="G104" s="274" t="str">
        <f>CONCATENATE("November",", ", Form!$C$3)</f>
        <v>November, 2023</v>
      </c>
      <c r="H104" s="274"/>
      <c r="I104" s="114"/>
      <c r="J104" s="115">
        <f>'Monthly Salary'!S13</f>
        <v>0</v>
      </c>
      <c r="K104" s="215"/>
      <c r="L104" s="215"/>
    </row>
    <row r="105" spans="1:12" x14ac:dyDescent="0.25">
      <c r="A105" s="249"/>
      <c r="B105" s="278" t="str">
        <f>CONCATENATE("June",", ", Form!$C$3)</f>
        <v>June, 2023</v>
      </c>
      <c r="C105" s="279"/>
      <c r="D105" s="280">
        <f>'Monthly Salary'!S8</f>
        <v>0</v>
      </c>
      <c r="E105" s="281"/>
      <c r="F105" s="114"/>
      <c r="G105" s="274"/>
      <c r="H105" s="274"/>
      <c r="I105" s="114"/>
      <c r="J105" s="116"/>
      <c r="K105" s="215"/>
      <c r="L105" s="215"/>
    </row>
    <row r="106" spans="1:12" x14ac:dyDescent="0.25">
      <c r="A106" s="249"/>
      <c r="B106" s="278" t="str">
        <f>CONCATENATE("July",", ", Form!$C$3)</f>
        <v>July, 2023</v>
      </c>
      <c r="C106" s="279"/>
      <c r="D106" s="280">
        <f>'Monthly Salary'!S9</f>
        <v>0</v>
      </c>
      <c r="E106" s="281"/>
      <c r="F106" s="114"/>
      <c r="G106" s="274"/>
      <c r="H106" s="274"/>
      <c r="I106" s="114"/>
      <c r="J106" s="116"/>
      <c r="K106" s="215"/>
      <c r="L106" s="215"/>
    </row>
    <row r="107" spans="1:12" x14ac:dyDescent="0.25">
      <c r="A107" s="249"/>
      <c r="B107" s="278" t="str">
        <f>CONCATENATE("August",", ", Form!$C$3)</f>
        <v>August, 2023</v>
      </c>
      <c r="C107" s="279"/>
      <c r="D107" s="280">
        <f>'Monthly Salary'!S10</f>
        <v>0</v>
      </c>
      <c r="E107" s="281"/>
      <c r="F107" s="114"/>
      <c r="G107" s="274"/>
      <c r="H107" s="274"/>
      <c r="I107" s="114"/>
      <c r="J107" s="117"/>
      <c r="K107" s="215"/>
      <c r="L107" s="216"/>
    </row>
    <row r="108" spans="1:12" x14ac:dyDescent="0.25">
      <c r="A108" s="136">
        <v>19</v>
      </c>
      <c r="B108" s="271" t="s">
        <v>258</v>
      </c>
      <c r="C108" s="272"/>
      <c r="D108" s="272"/>
      <c r="E108" s="272"/>
      <c r="F108" s="272"/>
      <c r="G108" s="272"/>
      <c r="H108" s="272"/>
      <c r="I108" s="272"/>
      <c r="J108" s="273"/>
      <c r="K108" s="216"/>
      <c r="L108" s="115">
        <f>L100-L101</f>
        <v>0</v>
      </c>
    </row>
    <row r="109" spans="1:12" ht="30" customHeight="1" x14ac:dyDescent="0.25">
      <c r="A109" s="275">
        <v>20</v>
      </c>
      <c r="B109" s="284" t="s">
        <v>259</v>
      </c>
      <c r="C109" s="284"/>
      <c r="D109" s="284"/>
      <c r="E109" s="284"/>
      <c r="F109" s="284"/>
      <c r="G109" s="284"/>
      <c r="H109" s="284"/>
      <c r="I109" s="284"/>
      <c r="J109" s="284"/>
      <c r="K109" s="284"/>
      <c r="L109" s="284"/>
    </row>
    <row r="110" spans="1:12" x14ac:dyDescent="0.25">
      <c r="A110" s="276"/>
      <c r="B110" s="278" t="str">
        <f>CONCATENATE("December",", ", Form!$C$3)</f>
        <v>December, 2023</v>
      </c>
      <c r="C110" s="279"/>
      <c r="D110" s="282"/>
      <c r="E110" s="283"/>
      <c r="F110" s="200"/>
      <c r="G110" s="201"/>
      <c r="H110" s="201"/>
      <c r="I110" s="201"/>
      <c r="J110" s="201"/>
      <c r="K110" s="201"/>
      <c r="L110" s="202"/>
    </row>
    <row r="111" spans="1:12" x14ac:dyDescent="0.25">
      <c r="A111" s="276"/>
      <c r="B111" s="278" t="str">
        <f>CONCATENATE("January",", ", Form!$E$3)</f>
        <v>January, 2024</v>
      </c>
      <c r="C111" s="279"/>
      <c r="D111" s="282"/>
      <c r="E111" s="283"/>
      <c r="F111" s="203"/>
      <c r="G111" s="204"/>
      <c r="H111" s="204"/>
      <c r="I111" s="204"/>
      <c r="J111" s="204"/>
      <c r="K111" s="204"/>
      <c r="L111" s="205"/>
    </row>
    <row r="112" spans="1:12" x14ac:dyDescent="0.25">
      <c r="A112" s="277"/>
      <c r="B112" s="278" t="str">
        <f>CONCATENATE("February",", ", Form!$E$3)</f>
        <v>February, 2024</v>
      </c>
      <c r="C112" s="279"/>
      <c r="D112" s="280">
        <f>L108-D110-D111</f>
        <v>0</v>
      </c>
      <c r="E112" s="281"/>
      <c r="F112" s="206"/>
      <c r="G112" s="207"/>
      <c r="H112" s="207"/>
      <c r="I112" s="207"/>
      <c r="J112" s="207"/>
      <c r="K112" s="207"/>
      <c r="L112" s="208"/>
    </row>
    <row r="113" spans="1:12" x14ac:dyDescent="0.25">
      <c r="A113" s="89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</row>
    <row r="114" spans="1:12" x14ac:dyDescent="0.25">
      <c r="A114" s="89"/>
      <c r="B114" s="89" t="s">
        <v>261</v>
      </c>
      <c r="C114" s="89"/>
      <c r="D114" s="89"/>
      <c r="E114" s="89"/>
      <c r="F114" s="89"/>
      <c r="G114" s="89"/>
      <c r="H114" s="89"/>
      <c r="I114" s="89"/>
      <c r="J114" s="89"/>
      <c r="K114" s="89"/>
      <c r="L114" s="89"/>
    </row>
    <row r="115" spans="1:12" x14ac:dyDescent="0.25">
      <c r="A115" s="89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</row>
    <row r="116" spans="1:12" x14ac:dyDescent="0.25">
      <c r="A116" s="89"/>
      <c r="B116" s="184" t="s">
        <v>262</v>
      </c>
      <c r="C116" s="184"/>
      <c r="D116" s="89"/>
      <c r="E116" s="89"/>
      <c r="F116" s="89"/>
      <c r="G116" s="89"/>
      <c r="H116" s="89"/>
      <c r="I116" s="89"/>
      <c r="J116" s="89"/>
      <c r="K116" s="89"/>
      <c r="L116" s="89"/>
    </row>
    <row r="117" spans="1:12" x14ac:dyDescent="0.25">
      <c r="A117" s="89"/>
      <c r="B117" s="184" t="s">
        <v>263</v>
      </c>
      <c r="C117" s="184"/>
      <c r="D117" s="89"/>
      <c r="E117" s="89"/>
      <c r="F117" s="89"/>
      <c r="G117" s="89"/>
      <c r="H117" s="89"/>
      <c r="I117" s="89"/>
      <c r="J117" s="89"/>
      <c r="K117" s="89" t="s">
        <v>264</v>
      </c>
      <c r="L117" s="89"/>
    </row>
  </sheetData>
  <sheetProtection algorithmName="SHA-512" hashValue="l7jUnxIh7mTS68wgHzk+4tjWjUvGw18edlECvZWDbyHx68DRw4moDra8eioFqVCBBEsS40KqBHt1XIBiq4P56A==" saltValue="VcytG/a2IwfMUQ9iW+W7hQ==" spinCount="100000" sheet="1" selectLockedCells="1"/>
  <customSheetViews>
    <customSheetView guid="{FB1B2773-2708-4BC7-98F1-55C7E60B40D3}" showPageBreaks="1" printArea="1" topLeftCell="A58">
      <selection activeCell="I3" sqref="I3:J3"/>
      <pageMargins left="0.6692913385826772" right="0.35433070866141736" top="0.74803149606299213" bottom="0.74803149606299213" header="0.31496062992125984" footer="0.31496062992125984"/>
      <pageSetup orientation="portrait" horizontalDpi="0" verticalDpi="0" r:id="rId1"/>
    </customSheetView>
  </customSheetViews>
  <mergeCells count="180">
    <mergeCell ref="A79:A86"/>
    <mergeCell ref="A87:A95"/>
    <mergeCell ref="A109:A112"/>
    <mergeCell ref="B110:C110"/>
    <mergeCell ref="B111:C111"/>
    <mergeCell ref="B112:C112"/>
    <mergeCell ref="D102:E102"/>
    <mergeCell ref="D103:E103"/>
    <mergeCell ref="D104:E104"/>
    <mergeCell ref="D105:E105"/>
    <mergeCell ref="D106:E106"/>
    <mergeCell ref="D107:E107"/>
    <mergeCell ref="D110:E110"/>
    <mergeCell ref="D111:E111"/>
    <mergeCell ref="D112:E112"/>
    <mergeCell ref="B109:L109"/>
    <mergeCell ref="A101:A107"/>
    <mergeCell ref="B101:J101"/>
    <mergeCell ref="B102:C102"/>
    <mergeCell ref="B103:C103"/>
    <mergeCell ref="B104:C104"/>
    <mergeCell ref="B105:C105"/>
    <mergeCell ref="B106:C106"/>
    <mergeCell ref="B107:C107"/>
    <mergeCell ref="L102:L107"/>
    <mergeCell ref="B108:J108"/>
    <mergeCell ref="K96:K108"/>
    <mergeCell ref="G102:H102"/>
    <mergeCell ref="G103:H103"/>
    <mergeCell ref="G104:H104"/>
    <mergeCell ref="G105:H105"/>
    <mergeCell ref="G106:H106"/>
    <mergeCell ref="G107:H107"/>
    <mergeCell ref="B99:J99"/>
    <mergeCell ref="B97:J97"/>
    <mergeCell ref="B98:J98"/>
    <mergeCell ref="B100:J100"/>
    <mergeCell ref="G92:H92"/>
    <mergeCell ref="D93:E93"/>
    <mergeCell ref="G93:H93"/>
    <mergeCell ref="D94:E94"/>
    <mergeCell ref="G94:H94"/>
    <mergeCell ref="D95:E95"/>
    <mergeCell ref="G95:H95"/>
    <mergeCell ref="B96:J96"/>
    <mergeCell ref="C87:J87"/>
    <mergeCell ref="C88:C89"/>
    <mergeCell ref="D88:H88"/>
    <mergeCell ref="D89:E89"/>
    <mergeCell ref="G89:H89"/>
    <mergeCell ref="D90:E90"/>
    <mergeCell ref="G90:H90"/>
    <mergeCell ref="D91:E91"/>
    <mergeCell ref="G91:H91"/>
    <mergeCell ref="B88:B95"/>
    <mergeCell ref="I88:L95"/>
    <mergeCell ref="D92:E92"/>
    <mergeCell ref="B76:J76"/>
    <mergeCell ref="B77:J77"/>
    <mergeCell ref="K76:K78"/>
    <mergeCell ref="C80:C81"/>
    <mergeCell ref="B78:J78"/>
    <mergeCell ref="C79:J79"/>
    <mergeCell ref="D80:H80"/>
    <mergeCell ref="D81:E81"/>
    <mergeCell ref="B80:B86"/>
    <mergeCell ref="D84:E84"/>
    <mergeCell ref="D85:E85"/>
    <mergeCell ref="D86:E86"/>
    <mergeCell ref="G81:H81"/>
    <mergeCell ref="G82:H82"/>
    <mergeCell ref="G84:H84"/>
    <mergeCell ref="D82:E82"/>
    <mergeCell ref="G85:H85"/>
    <mergeCell ref="G86:H86"/>
    <mergeCell ref="D83:E83"/>
    <mergeCell ref="G83:H83"/>
    <mergeCell ref="I80:L86"/>
    <mergeCell ref="B67:J67"/>
    <mergeCell ref="B68:J68"/>
    <mergeCell ref="B69:J69"/>
    <mergeCell ref="B70:L70"/>
    <mergeCell ref="C71:J71"/>
    <mergeCell ref="C72:J72"/>
    <mergeCell ref="C73:J73"/>
    <mergeCell ref="C74:J74"/>
    <mergeCell ref="C75:J75"/>
    <mergeCell ref="C39:J39"/>
    <mergeCell ref="C40:J40"/>
    <mergeCell ref="A6:G6"/>
    <mergeCell ref="B61:J61"/>
    <mergeCell ref="B62:J62"/>
    <mergeCell ref="B63:J63"/>
    <mergeCell ref="B64:J64"/>
    <mergeCell ref="B66:J66"/>
    <mergeCell ref="L49:L62"/>
    <mergeCell ref="C59:J59"/>
    <mergeCell ref="B60:J60"/>
    <mergeCell ref="C51:J51"/>
    <mergeCell ref="C52:J52"/>
    <mergeCell ref="C58:J58"/>
    <mergeCell ref="C53:J53"/>
    <mergeCell ref="C54:J54"/>
    <mergeCell ref="C55:J55"/>
    <mergeCell ref="C56:J56"/>
    <mergeCell ref="C57:J57"/>
    <mergeCell ref="C49:J49"/>
    <mergeCell ref="C45:J45"/>
    <mergeCell ref="C46:J46"/>
    <mergeCell ref="D3:G3"/>
    <mergeCell ref="C35:J35"/>
    <mergeCell ref="C33:J33"/>
    <mergeCell ref="A1:L1"/>
    <mergeCell ref="A2:L2"/>
    <mergeCell ref="C50:J50"/>
    <mergeCell ref="L11:L13"/>
    <mergeCell ref="K5:L5"/>
    <mergeCell ref="I5:J5"/>
    <mergeCell ref="I4:J4"/>
    <mergeCell ref="I3:J3"/>
    <mergeCell ref="K3:L3"/>
    <mergeCell ref="K4:L4"/>
    <mergeCell ref="J9:L9"/>
    <mergeCell ref="B47:L47"/>
    <mergeCell ref="B48:L48"/>
    <mergeCell ref="C41:J41"/>
    <mergeCell ref="A42:J42"/>
    <mergeCell ref="B32:L32"/>
    <mergeCell ref="A43:J43"/>
    <mergeCell ref="B44:J44"/>
    <mergeCell ref="A48:A60"/>
    <mergeCell ref="B37:J37"/>
    <mergeCell ref="B38:L38"/>
    <mergeCell ref="A4:C4"/>
    <mergeCell ref="D4:G4"/>
    <mergeCell ref="C18:J18"/>
    <mergeCell ref="A7:C7"/>
    <mergeCell ref="C15:J15"/>
    <mergeCell ref="A11:A15"/>
    <mergeCell ref="A16:J16"/>
    <mergeCell ref="C19:J19"/>
    <mergeCell ref="B17:L17"/>
    <mergeCell ref="A5:E5"/>
    <mergeCell ref="C11:J11"/>
    <mergeCell ref="I6:K6"/>
    <mergeCell ref="I7:K7"/>
    <mergeCell ref="C12:J12"/>
    <mergeCell ref="C13:J13"/>
    <mergeCell ref="A10:J10"/>
    <mergeCell ref="A17:A30"/>
    <mergeCell ref="C14:J14"/>
    <mergeCell ref="C29:J29"/>
    <mergeCell ref="A8:C8"/>
    <mergeCell ref="D7:G7"/>
    <mergeCell ref="D8:G8"/>
    <mergeCell ref="K30:K31"/>
    <mergeCell ref="L18:L29"/>
    <mergeCell ref="B116:C116"/>
    <mergeCell ref="B117:C117"/>
    <mergeCell ref="C22:K22"/>
    <mergeCell ref="K50:K51"/>
    <mergeCell ref="D9:G9"/>
    <mergeCell ref="C34:J34"/>
    <mergeCell ref="A9:C9"/>
    <mergeCell ref="C20:J20"/>
    <mergeCell ref="C21:J21"/>
    <mergeCell ref="C28:J28"/>
    <mergeCell ref="D23:I23"/>
    <mergeCell ref="D24:I24"/>
    <mergeCell ref="D25:I25"/>
    <mergeCell ref="C30:J30"/>
    <mergeCell ref="C26:J26"/>
    <mergeCell ref="C27:J27"/>
    <mergeCell ref="B31:J31"/>
    <mergeCell ref="B36:J36"/>
    <mergeCell ref="F110:L112"/>
    <mergeCell ref="L39:L41"/>
    <mergeCell ref="K36:K37"/>
    <mergeCell ref="L33:L35"/>
    <mergeCell ref="K23:K25"/>
  </mergeCells>
  <dataValidations disablePrompts="1" count="1">
    <dataValidation allowBlank="1" sqref="K10" xr:uid="{A9796FEC-81DA-C44A-9DE1-F00F0DBEDE37}"/>
  </dataValidations>
  <printOptions horizontalCentered="1"/>
  <pageMargins left="0.55118110236220474" right="0.35433070866141736" top="0.31496062992125984" bottom="0.51181102362204722" header="0.31496062992125984" footer="0.31496062992125984"/>
  <pageSetup scale="80" fitToHeight="3" orientation="portrait" blackAndWhite="1" r:id="rId2"/>
  <headerFooter>
    <oddFooter>&amp;CPage &amp;P of &amp;N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Form</vt:lpstr>
      <vt:lpstr>Monthly Salary</vt:lpstr>
      <vt:lpstr>IT statement</vt:lpstr>
      <vt:lpstr>Form!Print_Area</vt:lpstr>
      <vt:lpstr>'IT statement'!Print_Area</vt:lpstr>
      <vt:lpstr>'Monthly Salary'!Print_Area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Mohan Ramalingam</dc:creator>
  <cp:lastModifiedBy>Mohan Ramalingam</cp:lastModifiedBy>
  <cp:lastPrinted>2023-12-02T08:44:16Z</cp:lastPrinted>
  <dcterms:created xsi:type="dcterms:W3CDTF">2013-10-07T13:59:33Z</dcterms:created>
  <dcterms:modified xsi:type="dcterms:W3CDTF">2023-12-02T08:54:09Z</dcterms:modified>
</cp:coreProperties>
</file>